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50" windowWidth="20115" windowHeight="6375" tabRatio="924" firstSheet="1" activeTab="7"/>
  </bookViews>
  <sheets>
    <sheet name="Demografi Responden" sheetId="13" r:id="rId1"/>
    <sheet name="Identitas Pengrajin" sheetId="16" r:id="rId2"/>
    <sheet name="Distribusi Biaya Tetap" sheetId="17" r:id="rId3"/>
    <sheet name="Distribusi Biaya Bahan Baku" sheetId="18" r:id="rId4"/>
    <sheet name="Distribusi Biaya Tenaga Kerjaa" sheetId="40" r:id="rId5"/>
    <sheet name="Biaya Lain-lain" sheetId="23" r:id="rId6"/>
    <sheet name="Biaya bahan baku per unit" sheetId="20" r:id="rId7"/>
    <sheet name="Rataan Biaya Investasi" sheetId="4" r:id="rId8"/>
    <sheet name="Kapasitas Produksi" sheetId="21" r:id="rId9"/>
    <sheet name="Rataan Biaya Produksi" sheetId="41" r:id="rId10"/>
    <sheet name="HPP" sheetId="42" r:id="rId11"/>
    <sheet name="Rugi Laba Kepala Barongan" sheetId="43" r:id="rId12"/>
    <sheet name="Cash Flow Kepala Barongan" sheetId="44" r:id="rId13"/>
    <sheet name="Penilaian Investasi Barongan" sheetId="45" r:id="rId14"/>
    <sheet name="Rugi Laba Bujangganong" sheetId="46" r:id="rId15"/>
    <sheet name="Cash Flow Bujangganong" sheetId="47" r:id="rId16"/>
    <sheet name="Penilaian Investasi Ganongan" sheetId="48" r:id="rId17"/>
    <sheet name="Rugi Laba Kelonosewandono" sheetId="49" r:id="rId18"/>
    <sheet name="Cash Flow Kelonosewandono" sheetId="50" r:id="rId19"/>
    <sheet name="Penilaian Investasi Sewandono" sheetId="51" r:id="rId20"/>
  </sheets>
  <calcPr calcId="144525"/>
</workbook>
</file>

<file path=xl/calcChain.xml><?xml version="1.0" encoding="utf-8"?>
<calcChain xmlns="http://schemas.openxmlformats.org/spreadsheetml/2006/main">
  <c r="J31" i="20" l="1"/>
  <c r="J30" i="20"/>
  <c r="J29" i="20"/>
  <c r="J28" i="20"/>
  <c r="J27" i="20"/>
  <c r="J26" i="20"/>
  <c r="J25" i="20"/>
  <c r="J24" i="20"/>
  <c r="J23" i="20"/>
  <c r="J22" i="20"/>
  <c r="J21" i="20"/>
  <c r="J20" i="20"/>
  <c r="J19" i="20"/>
  <c r="J21" i="51" l="1"/>
  <c r="H21" i="51"/>
  <c r="J21" i="48"/>
  <c r="H21" i="48"/>
  <c r="G22" i="45"/>
  <c r="E22" i="45"/>
  <c r="H38" i="51" l="1"/>
  <c r="H37" i="51"/>
  <c r="H36" i="51"/>
  <c r="H35" i="51"/>
  <c r="H34" i="51"/>
  <c r="H33" i="51"/>
  <c r="E38" i="51"/>
  <c r="E37" i="51"/>
  <c r="E36" i="51"/>
  <c r="E35" i="51"/>
  <c r="E34" i="51"/>
  <c r="E33" i="51"/>
  <c r="F12" i="51"/>
  <c r="F13" i="51"/>
  <c r="F14" i="51"/>
  <c r="F15" i="51"/>
  <c r="F16" i="51"/>
  <c r="F17" i="51"/>
  <c r="E10" i="50"/>
  <c r="E11" i="50"/>
  <c r="E12" i="50"/>
  <c r="E13" i="50"/>
  <c r="E14" i="50"/>
  <c r="E15" i="50"/>
  <c r="N6" i="49"/>
  <c r="I6" i="49"/>
  <c r="J6" i="49"/>
  <c r="K6" i="49"/>
  <c r="L6" i="49"/>
  <c r="M6" i="49"/>
  <c r="H6" i="49"/>
  <c r="I17" i="49"/>
  <c r="J17" i="49" s="1"/>
  <c r="K17" i="49" s="1"/>
  <c r="L17" i="49" s="1"/>
  <c r="M17" i="49" s="1"/>
  <c r="N17" i="49" s="1"/>
  <c r="G39" i="48"/>
  <c r="G37" i="48"/>
  <c r="G32" i="48"/>
  <c r="G33" i="48"/>
  <c r="G34" i="48"/>
  <c r="G35" i="48"/>
  <c r="G36" i="48"/>
  <c r="D37" i="48"/>
  <c r="D36" i="48"/>
  <c r="D35" i="48"/>
  <c r="D34" i="48"/>
  <c r="D33" i="48"/>
  <c r="D32" i="48"/>
  <c r="E12" i="48"/>
  <c r="E13" i="48"/>
  <c r="E14" i="48"/>
  <c r="E15" i="48"/>
  <c r="E16" i="48"/>
  <c r="E17" i="48"/>
  <c r="E10" i="47"/>
  <c r="E11" i="47"/>
  <c r="E12" i="47"/>
  <c r="E13" i="47"/>
  <c r="E14" i="47"/>
  <c r="E15" i="47"/>
  <c r="I6" i="46"/>
  <c r="J6" i="46"/>
  <c r="K6" i="46"/>
  <c r="L6" i="46"/>
  <c r="M6" i="46"/>
  <c r="N6" i="46"/>
  <c r="I17" i="46"/>
  <c r="J17" i="46" s="1"/>
  <c r="K17" i="46" s="1"/>
  <c r="L17" i="46" s="1"/>
  <c r="M17" i="46" s="1"/>
  <c r="N17" i="46" s="1"/>
  <c r="E13" i="45"/>
  <c r="E14" i="45"/>
  <c r="E15" i="45"/>
  <c r="E16" i="45"/>
  <c r="E17" i="45"/>
  <c r="E18" i="45"/>
  <c r="E10" i="44"/>
  <c r="E11" i="44"/>
  <c r="E12" i="44"/>
  <c r="E13" i="44"/>
  <c r="E14" i="44"/>
  <c r="E15" i="44"/>
  <c r="E16" i="44"/>
  <c r="G23" i="20"/>
  <c r="G33" i="20" l="1"/>
  <c r="G22" i="20"/>
  <c r="E6" i="41"/>
  <c r="E28" i="40"/>
  <c r="E21" i="20"/>
  <c r="G21" i="20"/>
  <c r="E11" i="20"/>
  <c r="E32" i="20"/>
  <c r="E7" i="20"/>
  <c r="E8" i="20"/>
  <c r="I16" i="21"/>
  <c r="E16" i="21"/>
  <c r="E15" i="40"/>
  <c r="G36" i="20" l="1"/>
  <c r="E37" i="20"/>
  <c r="G15" i="20"/>
  <c r="E16" i="20"/>
  <c r="G25" i="20"/>
  <c r="E26" i="20"/>
  <c r="E17" i="49"/>
  <c r="E6" i="49" s="1"/>
  <c r="F28" i="40"/>
  <c r="F38" i="48"/>
  <c r="D6" i="49"/>
  <c r="E28" i="51" s="1"/>
  <c r="H28" i="51" s="1"/>
  <c r="G39" i="51"/>
  <c r="D6" i="51"/>
  <c r="G6" i="51" s="1"/>
  <c r="C6" i="48"/>
  <c r="F6" i="48" s="1"/>
  <c r="F49" i="45"/>
  <c r="J14" i="4"/>
  <c r="J13" i="4"/>
  <c r="J11" i="4"/>
  <c r="J10" i="4"/>
  <c r="J9" i="4"/>
  <c r="J8" i="4"/>
  <c r="J6" i="4"/>
  <c r="J7" i="4"/>
  <c r="I7" i="4"/>
  <c r="D44" i="42"/>
  <c r="D30" i="42"/>
  <c r="G6" i="48" l="1"/>
  <c r="E29" i="51"/>
  <c r="H29" i="51" s="1"/>
  <c r="F17" i="49"/>
  <c r="H6" i="51"/>
  <c r="E17" i="46"/>
  <c r="C7" i="45"/>
  <c r="F7" i="45" s="1"/>
  <c r="G7" i="45" s="1"/>
  <c r="E17" i="43"/>
  <c r="F17" i="43" s="1"/>
  <c r="E12" i="41"/>
  <c r="F12" i="41" s="1"/>
  <c r="G12" i="41" s="1"/>
  <c r="H12" i="41" s="1"/>
  <c r="I12" i="41" s="1"/>
  <c r="J12" i="41" s="1"/>
  <c r="K12" i="41" s="1"/>
  <c r="L12" i="41" s="1"/>
  <c r="M12" i="41" s="1"/>
  <c r="N12" i="41" s="1"/>
  <c r="O12" i="41" s="1"/>
  <c r="D18" i="42" l="1"/>
  <c r="G17" i="49"/>
  <c r="F6" i="49"/>
  <c r="F17" i="46"/>
  <c r="G17" i="43"/>
  <c r="E30" i="51" l="1"/>
  <c r="H30" i="51" s="1"/>
  <c r="H17" i="49"/>
  <c r="G6" i="49"/>
  <c r="G17" i="46"/>
  <c r="H17" i="43"/>
  <c r="I17" i="43" s="1"/>
  <c r="J17" i="43" l="1"/>
  <c r="I6" i="43"/>
  <c r="D43" i="45" s="1"/>
  <c r="G43" i="45" s="1"/>
  <c r="E31" i="51"/>
  <c r="H31" i="51" s="1"/>
  <c r="E32" i="51"/>
  <c r="H32" i="51" s="1"/>
  <c r="H17" i="46"/>
  <c r="K17" i="43" l="1"/>
  <c r="J6" i="43"/>
  <c r="D44" i="45" s="1"/>
  <c r="G44" i="45" s="1"/>
  <c r="H40" i="51"/>
  <c r="L17" i="43" l="1"/>
  <c r="K6" i="43"/>
  <c r="D45" i="45" s="1"/>
  <c r="G45" i="45" s="1"/>
  <c r="E42" i="40"/>
  <c r="E8" i="41" s="1"/>
  <c r="D42" i="40"/>
  <c r="D28" i="40"/>
  <c r="F29" i="40" s="1"/>
  <c r="D15" i="40"/>
  <c r="G34" i="20"/>
  <c r="G32" i="20"/>
  <c r="G37" i="20" s="1"/>
  <c r="E20" i="41" s="1"/>
  <c r="G31" i="20"/>
  <c r="G30" i="20"/>
  <c r="G20" i="20"/>
  <c r="G14" i="20"/>
  <c r="G13" i="20"/>
  <c r="G12" i="20"/>
  <c r="G11" i="20"/>
  <c r="G10" i="20"/>
  <c r="G9" i="20"/>
  <c r="G7" i="20"/>
  <c r="G6" i="20"/>
  <c r="G5" i="20"/>
  <c r="G4" i="20"/>
  <c r="G24" i="20"/>
  <c r="G26" i="20"/>
  <c r="M17" i="43" l="1"/>
  <c r="L6" i="43"/>
  <c r="D46" i="45" s="1"/>
  <c r="G46" i="45" s="1"/>
  <c r="G16" i="20"/>
  <c r="E18" i="41" s="1"/>
  <c r="F18" i="41" s="1"/>
  <c r="G18" i="41" s="1"/>
  <c r="H18" i="41" s="1"/>
  <c r="I18" i="41" s="1"/>
  <c r="E11" i="41"/>
  <c r="D8" i="42" s="1"/>
  <c r="F20" i="41"/>
  <c r="D14" i="42"/>
  <c r="F8" i="41"/>
  <c r="D6" i="43"/>
  <c r="D38" i="45" s="1"/>
  <c r="G38" i="45" s="1"/>
  <c r="F6" i="43"/>
  <c r="D40" i="45" s="1"/>
  <c r="E6" i="43"/>
  <c r="D39" i="45" s="1"/>
  <c r="G6" i="43"/>
  <c r="D41" i="45" s="1"/>
  <c r="H6" i="43"/>
  <c r="D42" i="45" s="1"/>
  <c r="F6" i="41"/>
  <c r="D6" i="13"/>
  <c r="D7" i="13"/>
  <c r="D8" i="13"/>
  <c r="D9" i="13"/>
  <c r="G14" i="4"/>
  <c r="H14" i="4" s="1"/>
  <c r="I14" i="4" s="1"/>
  <c r="G13" i="4"/>
  <c r="G12" i="4"/>
  <c r="H12" i="4" s="1"/>
  <c r="I12" i="4" s="1"/>
  <c r="J12" i="4" s="1"/>
  <c r="G10" i="4"/>
  <c r="H10" i="4" s="1"/>
  <c r="G9" i="4"/>
  <c r="G8" i="4"/>
  <c r="H8" i="4" s="1"/>
  <c r="G7" i="4"/>
  <c r="H7" i="4" s="1"/>
  <c r="O15" i="17"/>
  <c r="P15" i="17"/>
  <c r="G11" i="4"/>
  <c r="E19" i="41"/>
  <c r="F19" i="41" s="1"/>
  <c r="G19" i="41" s="1"/>
  <c r="H19" i="41" s="1"/>
  <c r="I19" i="41" s="1"/>
  <c r="J19" i="41" s="1"/>
  <c r="G41" i="45" l="1"/>
  <c r="G40" i="45"/>
  <c r="G42" i="45"/>
  <c r="G39" i="45"/>
  <c r="I9" i="41"/>
  <c r="J18" i="41"/>
  <c r="K19" i="41"/>
  <c r="J10" i="41"/>
  <c r="N17" i="43"/>
  <c r="N6" i="43" s="1"/>
  <c r="D48" i="45" s="1"/>
  <c r="G48" i="45" s="1"/>
  <c r="M6" i="43"/>
  <c r="D47" i="45" s="1"/>
  <c r="G47" i="45" s="1"/>
  <c r="G50" i="45" s="1"/>
  <c r="G9" i="41"/>
  <c r="F9" i="41"/>
  <c r="E9" i="41"/>
  <c r="H9" i="41"/>
  <c r="G20" i="41"/>
  <c r="F11" i="41"/>
  <c r="D12" i="42"/>
  <c r="G8" i="41"/>
  <c r="G6" i="41"/>
  <c r="H9" i="4"/>
  <c r="I9" i="4" s="1"/>
  <c r="H13" i="4"/>
  <c r="I13" i="4" s="1"/>
  <c r="H11" i="4"/>
  <c r="I11" i="4" s="1"/>
  <c r="I10" i="4"/>
  <c r="I8" i="4"/>
  <c r="L19" i="13"/>
  <c r="L18" i="13"/>
  <c r="L16" i="13"/>
  <c r="H18" i="13"/>
  <c r="H22" i="13" s="1"/>
  <c r="P9" i="13"/>
  <c r="P7" i="13"/>
  <c r="L8" i="13"/>
  <c r="D18" i="13"/>
  <c r="H11" i="13"/>
  <c r="D19" i="13"/>
  <c r="C10" i="13"/>
  <c r="S15" i="18"/>
  <c r="R15" i="18"/>
  <c r="M15" i="18"/>
  <c r="O15" i="18"/>
  <c r="F16" i="21"/>
  <c r="AB15" i="17"/>
  <c r="AA15" i="17"/>
  <c r="Y15" i="17"/>
  <c r="R15" i="17"/>
  <c r="X15" i="17"/>
  <c r="V15" i="17"/>
  <c r="S15" i="17"/>
  <c r="L15" i="17"/>
  <c r="M15" i="17"/>
  <c r="J15" i="17"/>
  <c r="G15" i="17"/>
  <c r="D15" i="17"/>
  <c r="G12" i="21"/>
  <c r="G9" i="21"/>
  <c r="G8" i="21"/>
  <c r="G10" i="21"/>
  <c r="G7" i="21"/>
  <c r="G13" i="21"/>
  <c r="G11" i="21"/>
  <c r="D6" i="42" l="1"/>
  <c r="J9" i="41"/>
  <c r="K18" i="41"/>
  <c r="L19" i="41"/>
  <c r="K10" i="41"/>
  <c r="G16" i="21"/>
  <c r="D37" i="42" s="1"/>
  <c r="E7" i="41"/>
  <c r="G11" i="41"/>
  <c r="H20" i="41"/>
  <c r="H8" i="41"/>
  <c r="H6" i="41"/>
  <c r="D10" i="13"/>
  <c r="D20" i="13"/>
  <c r="Q15" i="18"/>
  <c r="P15" i="18"/>
  <c r="N15" i="18"/>
  <c r="L15" i="18"/>
  <c r="K15" i="18"/>
  <c r="J15" i="18"/>
  <c r="I15" i="18"/>
  <c r="H15" i="18"/>
  <c r="G15" i="18"/>
  <c r="F15" i="18"/>
  <c r="E15" i="18"/>
  <c r="D15" i="18"/>
  <c r="G6" i="4"/>
  <c r="M19" i="41" l="1"/>
  <c r="L10" i="41"/>
  <c r="L18" i="41"/>
  <c r="K9" i="41"/>
  <c r="H11" i="41"/>
  <c r="I20" i="41"/>
  <c r="I8" i="41"/>
  <c r="J8" i="41" s="1"/>
  <c r="D6" i="46"/>
  <c r="D27" i="48" s="1"/>
  <c r="G27" i="48" s="1"/>
  <c r="E6" i="46"/>
  <c r="D28" i="48" s="1"/>
  <c r="G28" i="48" s="1"/>
  <c r="E10" i="41"/>
  <c r="D7" i="42" s="1"/>
  <c r="F6" i="46"/>
  <c r="D29" i="48" s="1"/>
  <c r="G29" i="48" s="1"/>
  <c r="F10" i="41"/>
  <c r="G10" i="41"/>
  <c r="G6" i="46"/>
  <c r="D30" i="48" s="1"/>
  <c r="G30" i="48" s="1"/>
  <c r="H10" i="41"/>
  <c r="H6" i="46"/>
  <c r="D31" i="48" s="1"/>
  <c r="G31" i="48" s="1"/>
  <c r="I10" i="41"/>
  <c r="I6" i="41"/>
  <c r="J6" i="41" s="1"/>
  <c r="G15" i="4"/>
  <c r="E18" i="4" s="1"/>
  <c r="H6" i="4"/>
  <c r="I6" i="4" s="1"/>
  <c r="I15" i="4" s="1"/>
  <c r="D9" i="42" l="1"/>
  <c r="D11" i="42" s="1"/>
  <c r="K8" i="41"/>
  <c r="I11" i="41"/>
  <c r="J20" i="41"/>
  <c r="M18" i="41"/>
  <c r="L9" i="41"/>
  <c r="N19" i="41"/>
  <c r="M10" i="41"/>
  <c r="K6" i="41"/>
  <c r="D13" i="42"/>
  <c r="D15" i="42" s="1"/>
  <c r="F7" i="41"/>
  <c r="E20" i="4"/>
  <c r="D16" i="42" l="1"/>
  <c r="L8" i="41"/>
  <c r="O19" i="41"/>
  <c r="O10" i="41" s="1"/>
  <c r="N10" i="41"/>
  <c r="N18" i="41"/>
  <c r="M9" i="41"/>
  <c r="J11" i="41"/>
  <c r="K20" i="41"/>
  <c r="L6" i="41"/>
  <c r="E6" i="50"/>
  <c r="F8" i="51" s="1"/>
  <c r="E8" i="50"/>
  <c r="F10" i="51" s="1"/>
  <c r="E6" i="47"/>
  <c r="E8" i="48" s="1"/>
  <c r="E8" i="47"/>
  <c r="E10" i="48" s="1"/>
  <c r="E5" i="47"/>
  <c r="E7" i="48" s="1"/>
  <c r="E5" i="50"/>
  <c r="F7" i="51" s="1"/>
  <c r="E7" i="50"/>
  <c r="F9" i="51" s="1"/>
  <c r="E9" i="50"/>
  <c r="F11" i="51" s="1"/>
  <c r="E7" i="47"/>
  <c r="E9" i="48" s="1"/>
  <c r="E9" i="47"/>
  <c r="E11" i="48" s="1"/>
  <c r="G7" i="41"/>
  <c r="E7" i="44"/>
  <c r="E10" i="45" s="1"/>
  <c r="E9" i="44"/>
  <c r="E12" i="45" s="1"/>
  <c r="E13" i="41"/>
  <c r="E6" i="44"/>
  <c r="E9" i="45" s="1"/>
  <c r="E8" i="44"/>
  <c r="E11" i="45" s="1"/>
  <c r="E5" i="44"/>
  <c r="D8" i="49" l="1"/>
  <c r="K13" i="41"/>
  <c r="J8" i="43" s="1"/>
  <c r="J9" i="43" s="1"/>
  <c r="J10" i="43" s="1"/>
  <c r="J11" i="43" s="1"/>
  <c r="D11" i="44" s="1"/>
  <c r="M13" i="41"/>
  <c r="O13" i="41"/>
  <c r="J13" i="41"/>
  <c r="I8" i="43" s="1"/>
  <c r="L13" i="41"/>
  <c r="N13" i="41"/>
  <c r="F29" i="41"/>
  <c r="F25" i="41"/>
  <c r="F27" i="41"/>
  <c r="I8" i="49"/>
  <c r="M8" i="41"/>
  <c r="L20" i="41"/>
  <c r="K11" i="41"/>
  <c r="J8" i="49" s="1"/>
  <c r="O18" i="41"/>
  <c r="O9" i="41" s="1"/>
  <c r="N9" i="41"/>
  <c r="C44" i="45"/>
  <c r="F44" i="45" s="1"/>
  <c r="M6" i="41"/>
  <c r="K8" i="43"/>
  <c r="D28" i="51"/>
  <c r="G28" i="51" s="1"/>
  <c r="D9" i="49"/>
  <c r="D10" i="49" s="1"/>
  <c r="D11" i="49" s="1"/>
  <c r="D5" i="50" s="1"/>
  <c r="H7" i="41"/>
  <c r="E8" i="45"/>
  <c r="G13" i="41"/>
  <c r="F8" i="49" s="1"/>
  <c r="H13" i="41"/>
  <c r="G8" i="49" s="1"/>
  <c r="D19" i="42"/>
  <c r="F13" i="41"/>
  <c r="I13" i="41"/>
  <c r="H8" i="49" s="1"/>
  <c r="E14" i="41"/>
  <c r="D20" i="42" l="1"/>
  <c r="D34" i="51"/>
  <c r="G34" i="51" s="1"/>
  <c r="J9" i="49"/>
  <c r="I9" i="49"/>
  <c r="D33" i="51"/>
  <c r="G33" i="51" s="1"/>
  <c r="N8" i="41"/>
  <c r="C43" i="45"/>
  <c r="F43" i="45" s="1"/>
  <c r="I9" i="43"/>
  <c r="I10" i="43" s="1"/>
  <c r="I11" i="43" s="1"/>
  <c r="D10" i="44" s="1"/>
  <c r="M20" i="41"/>
  <c r="L11" i="41"/>
  <c r="K8" i="49" s="1"/>
  <c r="K9" i="43"/>
  <c r="C45" i="45"/>
  <c r="F45" i="45" s="1"/>
  <c r="D14" i="45"/>
  <c r="F14" i="45" s="1"/>
  <c r="F11" i="44"/>
  <c r="N6" i="41"/>
  <c r="L8" i="43"/>
  <c r="K10" i="43"/>
  <c r="K11" i="43" s="1"/>
  <c r="D12" i="44" s="1"/>
  <c r="H9" i="49"/>
  <c r="H10" i="49" s="1"/>
  <c r="H11" i="49" s="1"/>
  <c r="D9" i="50" s="1"/>
  <c r="D32" i="51"/>
  <c r="G32" i="51" s="1"/>
  <c r="D30" i="51"/>
  <c r="G30" i="51" s="1"/>
  <c r="F9" i="49"/>
  <c r="F10" i="49" s="1"/>
  <c r="F11" i="49" s="1"/>
  <c r="D7" i="50" s="1"/>
  <c r="F8" i="46"/>
  <c r="C29" i="48" s="1"/>
  <c r="F29" i="48" s="1"/>
  <c r="E8" i="49"/>
  <c r="E8" i="46"/>
  <c r="G9" i="49"/>
  <c r="G10" i="49" s="1"/>
  <c r="G11" i="49" s="1"/>
  <c r="D8" i="50" s="1"/>
  <c r="D31" i="51"/>
  <c r="G31" i="51" s="1"/>
  <c r="F5" i="50"/>
  <c r="E7" i="51"/>
  <c r="G7" i="51" s="1"/>
  <c r="I7" i="41"/>
  <c r="G8" i="46"/>
  <c r="E8" i="43"/>
  <c r="F14" i="41"/>
  <c r="G8" i="43"/>
  <c r="H14" i="41"/>
  <c r="I14" i="41"/>
  <c r="H8" i="43"/>
  <c r="G14" i="41"/>
  <c r="F8" i="43"/>
  <c r="O8" i="41" l="1"/>
  <c r="J10" i="49"/>
  <c r="J11" i="49" s="1"/>
  <c r="D11" i="50" s="1"/>
  <c r="K9" i="49"/>
  <c r="D35" i="51"/>
  <c r="G35" i="51" s="1"/>
  <c r="F10" i="44"/>
  <c r="D13" i="45"/>
  <c r="F13" i="45" s="1"/>
  <c r="I10" i="49"/>
  <c r="I11" i="49" s="1"/>
  <c r="D10" i="50" s="1"/>
  <c r="D23" i="42"/>
  <c r="D40" i="42" s="1"/>
  <c r="D41" i="42" s="1"/>
  <c r="D21" i="42"/>
  <c r="D22" i="42"/>
  <c r="D8" i="46" s="1"/>
  <c r="N20" i="41"/>
  <c r="M11" i="41"/>
  <c r="L8" i="49" s="1"/>
  <c r="L9" i="43"/>
  <c r="C46" i="45"/>
  <c r="F46" i="45" s="1"/>
  <c r="F12" i="44"/>
  <c r="D15" i="45"/>
  <c r="F15" i="45" s="1"/>
  <c r="H8" i="46"/>
  <c r="H9" i="46" s="1"/>
  <c r="H10" i="46" s="1"/>
  <c r="H11" i="46" s="1"/>
  <c r="D9" i="47" s="1"/>
  <c r="F9" i="47" s="1"/>
  <c r="J7" i="41"/>
  <c r="I8" i="46" s="1"/>
  <c r="O6" i="41"/>
  <c r="M8" i="43"/>
  <c r="L10" i="43"/>
  <c r="L11" i="43" s="1"/>
  <c r="D13" i="44" s="1"/>
  <c r="F9" i="46"/>
  <c r="F10" i="46" s="1"/>
  <c r="F11" i="46" s="1"/>
  <c r="D7" i="47" s="1"/>
  <c r="F7" i="47" s="1"/>
  <c r="F8" i="50"/>
  <c r="E10" i="51"/>
  <c r="G10" i="51" s="1"/>
  <c r="E9" i="49"/>
  <c r="E10" i="49" s="1"/>
  <c r="E11" i="49" s="1"/>
  <c r="D6" i="50" s="1"/>
  <c r="D29" i="51"/>
  <c r="G29" i="51" s="1"/>
  <c r="E11" i="51"/>
  <c r="G11" i="51" s="1"/>
  <c r="F9" i="50"/>
  <c r="H7" i="51"/>
  <c r="E9" i="46"/>
  <c r="C28" i="48"/>
  <c r="F28" i="48" s="1"/>
  <c r="E9" i="51"/>
  <c r="G9" i="51" s="1"/>
  <c r="F7" i="50"/>
  <c r="F9" i="43"/>
  <c r="F10" i="43" s="1"/>
  <c r="F11" i="43" s="1"/>
  <c r="D7" i="44" s="1"/>
  <c r="D10" i="45" s="1"/>
  <c r="F10" i="45" s="1"/>
  <c r="C40" i="45"/>
  <c r="G9" i="43"/>
  <c r="G10" i="43" s="1"/>
  <c r="G11" i="43" s="1"/>
  <c r="D8" i="44" s="1"/>
  <c r="F8" i="44" s="1"/>
  <c r="C41" i="45"/>
  <c r="E9" i="43"/>
  <c r="E10" i="43" s="1"/>
  <c r="E11" i="43" s="1"/>
  <c r="D6" i="44" s="1"/>
  <c r="C39" i="45"/>
  <c r="H9" i="43"/>
  <c r="H10" i="43" s="1"/>
  <c r="H11" i="43" s="1"/>
  <c r="C42" i="45"/>
  <c r="G9" i="46"/>
  <c r="G10" i="46" s="1"/>
  <c r="G11" i="46" s="1"/>
  <c r="D8" i="47" s="1"/>
  <c r="C30" i="48"/>
  <c r="F30" i="48" s="1"/>
  <c r="D33" i="42"/>
  <c r="D34" i="42" s="1"/>
  <c r="D8" i="43"/>
  <c r="D26" i="42"/>
  <c r="D27" i="42" s="1"/>
  <c r="D28" i="42" l="1"/>
  <c r="D35" i="42"/>
  <c r="C32" i="48"/>
  <c r="F32" i="48" s="1"/>
  <c r="I9" i="46"/>
  <c r="D36" i="51"/>
  <c r="G36" i="51" s="1"/>
  <c r="L9" i="49"/>
  <c r="D42" i="42"/>
  <c r="E12" i="51"/>
  <c r="G12" i="51" s="1"/>
  <c r="F10" i="50"/>
  <c r="K10" i="49"/>
  <c r="K11" i="49" s="1"/>
  <c r="D12" i="50" s="1"/>
  <c r="F11" i="50"/>
  <c r="E13" i="51"/>
  <c r="G13" i="51" s="1"/>
  <c r="D24" i="42"/>
  <c r="O20" i="41"/>
  <c r="O11" i="41" s="1"/>
  <c r="N8" i="49" s="1"/>
  <c r="N11" i="41"/>
  <c r="M8" i="49" s="1"/>
  <c r="C31" i="48"/>
  <c r="F31" i="48" s="1"/>
  <c r="M9" i="43"/>
  <c r="M10" i="43" s="1"/>
  <c r="M11" i="43" s="1"/>
  <c r="D14" i="44" s="1"/>
  <c r="C47" i="45"/>
  <c r="F47" i="45" s="1"/>
  <c r="F42" i="45"/>
  <c r="F39" i="45"/>
  <c r="F41" i="45"/>
  <c r="F40" i="45"/>
  <c r="D16" i="45"/>
  <c r="F16" i="45" s="1"/>
  <c r="F13" i="44"/>
  <c r="N8" i="43"/>
  <c r="D9" i="44"/>
  <c r="D12" i="45" s="1"/>
  <c r="F12" i="45" s="1"/>
  <c r="F6" i="44"/>
  <c r="K7" i="41"/>
  <c r="J8" i="46" s="1"/>
  <c r="J14" i="41"/>
  <c r="D11" i="48"/>
  <c r="F11" i="48" s="1"/>
  <c r="D9" i="48"/>
  <c r="F9" i="48" s="1"/>
  <c r="D9" i="45"/>
  <c r="F9" i="45" s="1"/>
  <c r="E10" i="46"/>
  <c r="E11" i="46" s="1"/>
  <c r="D6" i="47" s="1"/>
  <c r="E8" i="51"/>
  <c r="G8" i="51" s="1"/>
  <c r="F6" i="50"/>
  <c r="D11" i="45"/>
  <c r="F11" i="45" s="1"/>
  <c r="F7" i="44"/>
  <c r="D9" i="43"/>
  <c r="C38" i="45"/>
  <c r="F38" i="45" s="1"/>
  <c r="D9" i="46"/>
  <c r="D10" i="46" s="1"/>
  <c r="D11" i="46" s="1"/>
  <c r="D5" i="47" s="1"/>
  <c r="C27" i="48"/>
  <c r="F27" i="48" s="1"/>
  <c r="F8" i="47"/>
  <c r="D10" i="48"/>
  <c r="F10" i="48" s="1"/>
  <c r="D29" i="42" l="1"/>
  <c r="D31" i="42" s="1"/>
  <c r="D38" i="51"/>
  <c r="G38" i="51" s="1"/>
  <c r="N9" i="49"/>
  <c r="E14" i="51"/>
  <c r="G14" i="51" s="1"/>
  <c r="F12" i="50"/>
  <c r="M9" i="49"/>
  <c r="D37" i="51"/>
  <c r="G37" i="51" s="1"/>
  <c r="G40" i="51" s="1"/>
  <c r="F43" i="51" s="1"/>
  <c r="D43" i="42"/>
  <c r="D45" i="42" s="1"/>
  <c r="D36" i="42"/>
  <c r="D38" i="42" s="1"/>
  <c r="J9" i="46"/>
  <c r="C33" i="48"/>
  <c r="F33" i="48" s="1"/>
  <c r="L10" i="49"/>
  <c r="L11" i="49" s="1"/>
  <c r="D13" i="50" s="1"/>
  <c r="I10" i="46"/>
  <c r="I11" i="46" s="1"/>
  <c r="D10" i="47" s="1"/>
  <c r="D7" i="48"/>
  <c r="F7" i="48" s="1"/>
  <c r="D10" i="43"/>
  <c r="H8" i="51"/>
  <c r="N9" i="43"/>
  <c r="N10" i="43" s="1"/>
  <c r="N11" i="43" s="1"/>
  <c r="D15" i="44" s="1"/>
  <c r="C48" i="45"/>
  <c r="F48" i="45" s="1"/>
  <c r="F50" i="45" s="1"/>
  <c r="C53" i="45" s="1"/>
  <c r="F9" i="44"/>
  <c r="L7" i="41"/>
  <c r="K8" i="46" s="1"/>
  <c r="K14" i="41"/>
  <c r="F14" i="44"/>
  <c r="D17" i="45"/>
  <c r="F17" i="45" s="1"/>
  <c r="H9" i="51"/>
  <c r="H10" i="51" s="1"/>
  <c r="H11" i="51" s="1"/>
  <c r="H12" i="51" s="1"/>
  <c r="H13" i="51" s="1"/>
  <c r="H14" i="51" s="1"/>
  <c r="F20" i="51"/>
  <c r="F5" i="47"/>
  <c r="D8" i="48"/>
  <c r="F8" i="48" s="1"/>
  <c r="F6" i="47"/>
  <c r="G7" i="48"/>
  <c r="E21" i="48" s="1"/>
  <c r="F13" i="50" l="1"/>
  <c r="E15" i="51"/>
  <c r="G15" i="51" s="1"/>
  <c r="D12" i="48"/>
  <c r="F12" i="48" s="1"/>
  <c r="F10" i="47"/>
  <c r="J10" i="46"/>
  <c r="J11" i="46" s="1"/>
  <c r="D11" i="47" s="1"/>
  <c r="N10" i="49"/>
  <c r="N11" i="49" s="1"/>
  <c r="D15" i="50" s="1"/>
  <c r="H15" i="51"/>
  <c r="C34" i="48"/>
  <c r="F34" i="48" s="1"/>
  <c r="K9" i="46"/>
  <c r="D11" i="43"/>
  <c r="D5" i="44" s="1"/>
  <c r="D16" i="44" s="1"/>
  <c r="J32" i="20"/>
  <c r="M10" i="49"/>
  <c r="M11" i="49" s="1"/>
  <c r="D14" i="50" s="1"/>
  <c r="D18" i="45"/>
  <c r="F18" i="45" s="1"/>
  <c r="F15" i="44"/>
  <c r="M7" i="41"/>
  <c r="L8" i="46" s="1"/>
  <c r="L14" i="41"/>
  <c r="E23" i="48"/>
  <c r="G8" i="48"/>
  <c r="G9" i="48" s="1"/>
  <c r="G10" i="48" s="1"/>
  <c r="G11" i="48" s="1"/>
  <c r="G12" i="48" s="1"/>
  <c r="F15" i="50" l="1"/>
  <c r="E17" i="51"/>
  <c r="G17" i="51" s="1"/>
  <c r="D16" i="50"/>
  <c r="E16" i="51"/>
  <c r="G16" i="51" s="1"/>
  <c r="F14" i="50"/>
  <c r="D13" i="48"/>
  <c r="F13" i="48" s="1"/>
  <c r="F11" i="47"/>
  <c r="L9" i="46"/>
  <c r="C35" i="48"/>
  <c r="F35" i="48" s="1"/>
  <c r="K10" i="46"/>
  <c r="K11" i="46" s="1"/>
  <c r="D12" i="47" s="1"/>
  <c r="H16" i="51"/>
  <c r="H17" i="51" s="1"/>
  <c r="F24" i="51"/>
  <c r="F22" i="51"/>
  <c r="G13" i="48"/>
  <c r="F16" i="50"/>
  <c r="F5" i="44"/>
  <c r="D8" i="45"/>
  <c r="F8" i="45" s="1"/>
  <c r="F16" i="44"/>
  <c r="N7" i="41"/>
  <c r="M8" i="46" s="1"/>
  <c r="M14" i="41"/>
  <c r="D14" i="48" l="1"/>
  <c r="F14" i="48" s="1"/>
  <c r="G14" i="48" s="1"/>
  <c r="F12" i="47"/>
  <c r="L10" i="46"/>
  <c r="L11" i="46" s="1"/>
  <c r="D13" i="47" s="1"/>
  <c r="C36" i="48"/>
  <c r="F36" i="48" s="1"/>
  <c r="M9" i="46"/>
  <c r="C34" i="45"/>
  <c r="C26" i="45"/>
  <c r="G8" i="45"/>
  <c r="O7" i="41"/>
  <c r="N14" i="41"/>
  <c r="D15" i="48" l="1"/>
  <c r="F15" i="48" s="1"/>
  <c r="F13" i="47"/>
  <c r="O14" i="41"/>
  <c r="N8" i="46"/>
  <c r="M10" i="46"/>
  <c r="M11" i="46" s="1"/>
  <c r="D14" i="47" s="1"/>
  <c r="G15" i="48"/>
  <c r="G9" i="45"/>
  <c r="G10" i="45" s="1"/>
  <c r="G11" i="45" s="1"/>
  <c r="G12" i="45" s="1"/>
  <c r="G13" i="45" s="1"/>
  <c r="G14" i="45" s="1"/>
  <c r="G15" i="45" s="1"/>
  <c r="G16" i="45" s="1"/>
  <c r="G17" i="45" s="1"/>
  <c r="G18" i="45" s="1"/>
  <c r="C21" i="45"/>
  <c r="D16" i="48" l="1"/>
  <c r="F16" i="48" s="1"/>
  <c r="G16" i="48" s="1"/>
  <c r="F14" i="47"/>
  <c r="N9" i="46"/>
  <c r="C37" i="48"/>
  <c r="F37" i="48" s="1"/>
  <c r="F39" i="48" s="1"/>
  <c r="E42" i="48" s="1"/>
  <c r="N10" i="46" l="1"/>
  <c r="N11" i="46" s="1"/>
  <c r="D15" i="47" s="1"/>
  <c r="D17" i="48" l="1"/>
  <c r="F17" i="48" s="1"/>
  <c r="F15" i="47"/>
  <c r="F16" i="47" s="1"/>
  <c r="D16" i="47"/>
  <c r="E22" i="48" l="1"/>
  <c r="G17" i="48"/>
</calcChain>
</file>

<file path=xl/sharedStrings.xml><?xml version="1.0" encoding="utf-8"?>
<sst xmlns="http://schemas.openxmlformats.org/spreadsheetml/2006/main" count="750" uniqueCount="347">
  <si>
    <t>Jumlah Pekerja</t>
  </si>
  <si>
    <t>Jumlah</t>
  </si>
  <si>
    <t>NO</t>
  </si>
  <si>
    <t>HARGA</t>
  </si>
  <si>
    <t>TOTAL</t>
  </si>
  <si>
    <t>DEPRESIASI</t>
  </si>
  <si>
    <t>TOTAL INVESTASI</t>
  </si>
  <si>
    <t>JUMLAH</t>
  </si>
  <si>
    <t>URAIAN</t>
  </si>
  <si>
    <t>Kelompok Usia Responden</t>
  </si>
  <si>
    <t>∑ Responden (Orang)</t>
  </si>
  <si>
    <t>Prosentase (%)</t>
  </si>
  <si>
    <t>30-39 Tahun</t>
  </si>
  <si>
    <t>40-49 Tahun</t>
  </si>
  <si>
    <t>50-59 Tahun</t>
  </si>
  <si>
    <t>Tabel 1</t>
  </si>
  <si>
    <t>Sumber : Data Primer Diolah (Excel)</t>
  </si>
  <si>
    <t>Tabel 2</t>
  </si>
  <si>
    <t>Tingkat Pendidikan Responden</t>
  </si>
  <si>
    <t>SD</t>
  </si>
  <si>
    <t>SMP</t>
  </si>
  <si>
    <t>SMA/SMK</t>
  </si>
  <si>
    <t>D3</t>
  </si>
  <si>
    <t>SARJANA</t>
  </si>
  <si>
    <t>Pengalaman Usaha Responden</t>
  </si>
  <si>
    <t>Tabel 3</t>
  </si>
  <si>
    <t>5-10 Tahun</t>
  </si>
  <si>
    <t>11-20 Tahun</t>
  </si>
  <si>
    <t>Tabel 4</t>
  </si>
  <si>
    <t>Laki-Laki</t>
  </si>
  <si>
    <t>Perempuan</t>
  </si>
  <si>
    <t>Jenis Kelamin Responden</t>
  </si>
  <si>
    <t>Pendapatan per Bulan Responden</t>
  </si>
  <si>
    <t>Tabel 5</t>
  </si>
  <si>
    <t>3-5 Juta</t>
  </si>
  <si>
    <t>6-8 Juta</t>
  </si>
  <si>
    <t>9-11 Juta</t>
  </si>
  <si>
    <t>12-14 Juta</t>
  </si>
  <si>
    <t>Tabel 6</t>
  </si>
  <si>
    <t>Sumber Modal Responden</t>
  </si>
  <si>
    <t>Sendiri</t>
  </si>
  <si>
    <t>Pinjaman Bank/Kredit</t>
  </si>
  <si>
    <t>Sendiri dan Pinjaman</t>
  </si>
  <si>
    <t>MESIN BOR</t>
  </si>
  <si>
    <t>MESIN SENSO/CHAINSAW</t>
  </si>
  <si>
    <t>20-29 Tahun</t>
  </si>
  <si>
    <t>Status Pernikahan</t>
  </si>
  <si>
    <t>Belum Menikah</t>
  </si>
  <si>
    <t>Menikah</t>
  </si>
  <si>
    <t>Duda/Janda</t>
  </si>
  <si>
    <t>Tabel 7</t>
  </si>
  <si>
    <t>Nama Responden</t>
  </si>
  <si>
    <t>Umur (Tahun)</t>
  </si>
  <si>
    <t>Pendidikan</t>
  </si>
  <si>
    <t>Jenis Kelamin</t>
  </si>
  <si>
    <t>Alamat</t>
  </si>
  <si>
    <t>Lama Usaha (Tahun)</t>
  </si>
  <si>
    <t>Aris Dwiyanto</t>
  </si>
  <si>
    <t>SMK</t>
  </si>
  <si>
    <t>Kecamatan Ponorogo</t>
  </si>
  <si>
    <t>Mohammad Jaenuri</t>
  </si>
  <si>
    <t>MTS</t>
  </si>
  <si>
    <t>Didik Budi Utomo</t>
  </si>
  <si>
    <t>SMA</t>
  </si>
  <si>
    <t>Kecamatan Mlarak</t>
  </si>
  <si>
    <t>Kecamatan Sumoroto</t>
  </si>
  <si>
    <t>Priyono</t>
  </si>
  <si>
    <t>Yudi Hartono</t>
  </si>
  <si>
    <t>Kecamatan Jetis</t>
  </si>
  <si>
    <t>Warsito Hadi Suyano</t>
  </si>
  <si>
    <t>Budi Utomo</t>
  </si>
  <si>
    <t>Ristanto Probo Sukoco</t>
  </si>
  <si>
    <t>Mujiono</t>
  </si>
  <si>
    <t>Kecamatan Sawoo</t>
  </si>
  <si>
    <t>No Responden</t>
  </si>
  <si>
    <t>Harga</t>
  </si>
  <si>
    <t>Usia Ekonomis/Thn</t>
  </si>
  <si>
    <t>Kerajinan yang Dihasilkan</t>
  </si>
  <si>
    <t>Kepala Barongan, Sewandono, Bujangganong</t>
  </si>
  <si>
    <t>Bujangganong</t>
  </si>
  <si>
    <t>Kepala Barongan</t>
  </si>
  <si>
    <t>PAHAT UKIR</t>
  </si>
  <si>
    <t>PALU</t>
  </si>
  <si>
    <t>Jumlah/Set</t>
  </si>
  <si>
    <t>RATA - RATA</t>
  </si>
  <si>
    <t>Biaya Variabel</t>
  </si>
  <si>
    <t>PETEL KAWUNG</t>
  </si>
  <si>
    <t>PETEL STANDAR</t>
  </si>
  <si>
    <t>GERINDA</t>
  </si>
  <si>
    <t>PISAU ULAR WALANG</t>
  </si>
  <si>
    <t>Kayu Dadap/Mtr</t>
  </si>
  <si>
    <t>Mancung Kelapa/Biji</t>
  </si>
  <si>
    <t>Kulit Kambing/Lmbr</t>
  </si>
  <si>
    <t>Ekor Sapi/Biji</t>
  </si>
  <si>
    <t>Ekor Kuda/Biji</t>
  </si>
  <si>
    <t>Bulu Sintetis/Kg</t>
  </si>
  <si>
    <t>Jamang (Kulit Sapi yang Diukir)/Biji</t>
  </si>
  <si>
    <t>Kuas/Biji</t>
  </si>
  <si>
    <t>Lem Kayu/Kg</t>
  </si>
  <si>
    <t>-</t>
  </si>
  <si>
    <t>Rata-Rata</t>
  </si>
  <si>
    <t>Topeng Kelonosewandono</t>
  </si>
  <si>
    <t>Menjalin/Kg</t>
  </si>
  <si>
    <t>Bahan Baku</t>
  </si>
  <si>
    <t>Bahan Baku/unit</t>
  </si>
  <si>
    <t>Kepala Barongan (60 cm)</t>
  </si>
  <si>
    <t>60 cm</t>
  </si>
  <si>
    <t>50 biji</t>
  </si>
  <si>
    <t>1 lembar</t>
  </si>
  <si>
    <t>3 meter</t>
  </si>
  <si>
    <t>20 biji</t>
  </si>
  <si>
    <t>250 gram</t>
  </si>
  <si>
    <t>20 cm</t>
  </si>
  <si>
    <t>200 gram</t>
  </si>
  <si>
    <t>Lem Kayu 1 kg</t>
  </si>
  <si>
    <t>Pilox 300 ml</t>
  </si>
  <si>
    <t>Harga Bahan Baku/unit</t>
  </si>
  <si>
    <t>1 unit</t>
  </si>
  <si>
    <t>1 biji</t>
  </si>
  <si>
    <t>50 gram</t>
  </si>
  <si>
    <t>Warsito Hadi Suyono</t>
  </si>
  <si>
    <t>RATA-RATA</t>
  </si>
  <si>
    <t>BIAYA TETAP (INVESTASI)</t>
  </si>
  <si>
    <t>Kapasitas Produksi</t>
  </si>
  <si>
    <t>Topeng Bujangganong</t>
  </si>
  <si>
    <t>KAPASITAS PRODUKSI</t>
  </si>
  <si>
    <t>Per bulan</t>
  </si>
  <si>
    <t>Per tahun</t>
  </si>
  <si>
    <t>Mata Barongan/pasang</t>
  </si>
  <si>
    <t>Kayu Reng/mtr</t>
  </si>
  <si>
    <t>Kayu Usuk/mtr</t>
  </si>
  <si>
    <t>Dempul/kg</t>
  </si>
  <si>
    <t>Cat Minyak/kg</t>
  </si>
  <si>
    <t>MESIN CHAINSAW/SENSO (BESAR &amp; MINI)</t>
  </si>
  <si>
    <t>KETERANGAN :</t>
  </si>
  <si>
    <t>Pilox/300 CC</t>
  </si>
  <si>
    <t>TIDAK PAKAI BAHAN TERSEBUT  BERDASARKAN JENIS KERAJINANNYA</t>
  </si>
  <si>
    <t>BIAYA BAHAN BAKU</t>
  </si>
  <si>
    <t>Biaya Listrik</t>
  </si>
  <si>
    <t>Biaya lain-lain</t>
  </si>
  <si>
    <t>1 pasang</t>
  </si>
  <si>
    <t>Kayu Dadap/mtr</t>
  </si>
  <si>
    <t>Kulit Kambing/lmbr</t>
  </si>
  <si>
    <t>Mancung Kelapa/biji</t>
  </si>
  <si>
    <t>Ekor Sapi/biji</t>
  </si>
  <si>
    <t>Kayu Usuk/m</t>
  </si>
  <si>
    <t>Kayu Reng/m</t>
  </si>
  <si>
    <t>Ekor Kuda/biji</t>
  </si>
  <si>
    <t>Jamang /unit</t>
  </si>
  <si>
    <t>Brengos (dari ekor sapi)/unit</t>
  </si>
  <si>
    <t>100 gram</t>
  </si>
  <si>
    <t>ASET DAN PERALATAN</t>
  </si>
  <si>
    <t>USIA EKONOMIS/thn</t>
  </si>
  <si>
    <t>Harga/unit</t>
  </si>
  <si>
    <t>MESIN KOMPRESOR</t>
  </si>
  <si>
    <t>MESIN KOMPRESOR (BESAR &amp; KECIL)</t>
  </si>
  <si>
    <t>TOTAL PENYUSUTAN PER TAHUN</t>
  </si>
  <si>
    <t>LISTRIK</t>
  </si>
  <si>
    <t xml:space="preserve">Asumsi kenaikan upah </t>
  </si>
  <si>
    <t>Asumsi Kenaikan harga</t>
  </si>
  <si>
    <t>Asumsi Kenaikan</t>
  </si>
  <si>
    <t xml:space="preserve">(Berdasarkan data target inflasi dan pertumbuhan ekonomi domestik dari BI pada 2021) </t>
  </si>
  <si>
    <t>MESIN GERINDA</t>
  </si>
  <si>
    <r>
      <t>DEPRESIASI (</t>
    </r>
    <r>
      <rPr>
        <b/>
        <i/>
        <sz val="11"/>
        <color theme="1"/>
        <rFont val="Calibri"/>
        <family val="2"/>
        <scheme val="minor"/>
      </rPr>
      <t>Straight Line Method)</t>
    </r>
  </si>
  <si>
    <t>Topeng Bujang Ganong (20 cm)</t>
  </si>
  <si>
    <t>Topeng Kelonosewandono (20 cm)</t>
  </si>
  <si>
    <t>Biaya Pajak UMKM</t>
  </si>
  <si>
    <t>Karakteristik Responden Pengrajin Aksesoris Reog Berdasarkan Tingkat Usia</t>
  </si>
  <si>
    <t>Karakteristik Responden Pengrajin Aksesoris Reog Berdasarkan Tingkat Pendidikan</t>
  </si>
  <si>
    <t>Karakteristik Frekuensi Responden Pengrajin Aksesoris Reog Berdasarkan Pengalaman Usaha</t>
  </si>
  <si>
    <t>Karakteristik Responden Pengrajin Aksesoris Reog Berdasarkan Jenis Kelamin</t>
  </si>
  <si>
    <t>Karakteristik Responden Pengrajin Aksesoris Reog Berdasarkan Pendapatan per Bulan</t>
  </si>
  <si>
    <t>Karakteristik Responden Pengrajin Aksesoris Reog Berdasarkan Sumber Modal</t>
  </si>
  <si>
    <t>Karakteristik Responden Pengrajin Aksesoris Reog Berdasarkan Status Pernikahan</t>
  </si>
  <si>
    <t>RINCIAN BIAYA BAHAN BAKU PER UNIT</t>
  </si>
  <si>
    <t>Biaya Lain-lain</t>
  </si>
  <si>
    <t>Biaya Listrik/bln</t>
  </si>
  <si>
    <t>PERHITUNGAN HARGA POKOK PRODUKSI DAN PENJUALAN</t>
  </si>
  <si>
    <t>Persediaan Bahan Baku</t>
  </si>
  <si>
    <t>Total Biaya Bahan Baku</t>
  </si>
  <si>
    <t>Persediaan Barang dalam proses (WIP)</t>
  </si>
  <si>
    <t>Total Biaya WIP</t>
  </si>
  <si>
    <t xml:space="preserve">Biaya Overhead </t>
  </si>
  <si>
    <t>Biaya Depresiasi</t>
  </si>
  <si>
    <t>Total Biaya Overhead</t>
  </si>
  <si>
    <t>Barang tersedia untuk dijual</t>
  </si>
  <si>
    <t>KETERANGAN</t>
  </si>
  <si>
    <t>PEMASUKAN</t>
  </si>
  <si>
    <t>PENGELUARAN</t>
  </si>
  <si>
    <t>LABA SEBELUM PAJAK</t>
  </si>
  <si>
    <t>HARGA JUAL</t>
  </si>
  <si>
    <t>Asumsi kenaikan harga jual</t>
  </si>
  <si>
    <t>PAJAK PENGHASILAN UMKM 0,5%</t>
  </si>
  <si>
    <t>TAHUN KE -</t>
  </si>
  <si>
    <t>NET CASH FLOW</t>
  </si>
  <si>
    <t>KUMULATIF</t>
  </si>
  <si>
    <t>unit</t>
  </si>
  <si>
    <t>PBP =</t>
  </si>
  <si>
    <t>Analisa :</t>
  </si>
  <si>
    <t>bulan</t>
  </si>
  <si>
    <t>hari</t>
  </si>
  <si>
    <t>IRR =</t>
  </si>
  <si>
    <t>NPV =</t>
  </si>
  <si>
    <t>BIAYA UPAH (SISTEM BORONGAN)</t>
  </si>
  <si>
    <t>JML</t>
  </si>
  <si>
    <t xml:space="preserve">(Diperkirakan, pertumbuhan ekonomi akan meningkat pasca adanya vaksinasi, </t>
  </si>
  <si>
    <t xml:space="preserve">(Mulai kuartal I -IV tahun 2020 pertumbuhan ekonomi Indonesia selalu berada </t>
  </si>
  <si>
    <t xml:space="preserve">pada angka minus karna imbas dari penyebaran covid 19, </t>
  </si>
  <si>
    <t>paling parah terjadi di Kuartal II dengan minus -5 persen)</t>
  </si>
  <si>
    <t>IDENTITAS RESPONDEN PENGRAJIN AKSESORIS REOG YANG BERGABUNG DENGAN UPTD SENTRA INDUSTRI KAB. PONOROGO TAHUN 2020</t>
  </si>
  <si>
    <t>KEPALA BARONGAN :</t>
  </si>
  <si>
    <t>Spesifikasi : Standar Pentas Festival Reog Nasional dan Grebeg Suro</t>
  </si>
  <si>
    <t>Size : 60 cm</t>
  </si>
  <si>
    <t>TOPENG BUJANGGANONG :</t>
  </si>
  <si>
    <t>Size : 20 cm</t>
  </si>
  <si>
    <t>TOPENG KELONOSEWANDONO :</t>
  </si>
  <si>
    <t>TIDAK PRODUKSI KERAJINAN TERSEBUT</t>
  </si>
  <si>
    <t>BIAYA INVESTASI</t>
  </si>
  <si>
    <t>NILAI RESIDU</t>
  </si>
  <si>
    <t>RATAAN BIAYA PRODUKSI</t>
  </si>
  <si>
    <t>BAHAN BAKU KEPALA BARONGAN</t>
  </si>
  <si>
    <t>BAHAN BAKU TOPENG BUJANGGANONG</t>
  </si>
  <si>
    <t>BAHAN BAKU TOPENG KELONOSEWANDONO</t>
  </si>
  <si>
    <t>BAHAN BAKU/UNIT KEPALA BARONGAN</t>
  </si>
  <si>
    <t>BAHAN BAKU/UNIT TOPENG BUJANGGANONG</t>
  </si>
  <si>
    <t>BIAYA TENAGA KERJA KEPALA BARONGAN</t>
  </si>
  <si>
    <t>BIAYA TENAGA KERJA TOPENG BUJANGGANONG</t>
  </si>
  <si>
    <t>BIAYA TENAGA KERJA TOPENG KELONOSEWANDONO</t>
  </si>
  <si>
    <t>BAHAN BAKU/UNIT TOPENG KELONOSEWANDONO</t>
  </si>
  <si>
    <t>TOTAL KEBUTUHAN DANA TAHUN PERTAMA TOPENG BUJANGGANONG = TOTAL INVESTASI + BIAYA PRODUKSI TAHUN PERTAMA TOPENG BUJANGGANONG</t>
  </si>
  <si>
    <t>TOTAL KEBUTUHAN DANA TAHUN PERTAMA TOPENG KELONOSEWANDONO = TOTAL INVESTASI + BIAYA PRODUKSI TAHUN PERTAMA TOPENG KELONOSEWANDONO</t>
  </si>
  <si>
    <t>HPP TAHUN PERTAMA</t>
  </si>
  <si>
    <t>Pembelian Bahan Baku Kepala Barongan</t>
  </si>
  <si>
    <t>Pembelian Bahan Baku Topeng Bujangganong</t>
  </si>
  <si>
    <t>Pembelian Bahan Baku Topeng Kelonosewandono</t>
  </si>
  <si>
    <t>Biaya Tenaga Kerja Kepala Barongan</t>
  </si>
  <si>
    <t>Biaya Tenaga Kerja Topeng Bujangganong</t>
  </si>
  <si>
    <t>Biaya Tenaga Kerja Topeng Kelonosewandono</t>
  </si>
  <si>
    <t>Total Biaya Tenaga Kerja</t>
  </si>
  <si>
    <t>HPP KEPALA BARONGAN</t>
  </si>
  <si>
    <t>HPP TOPENG BUJANGGANONG</t>
  </si>
  <si>
    <t>HPP TOPENG KELONOSEWANDONO</t>
  </si>
  <si>
    <t>TOTAL HARGA POKOK PRODUKSI SEMUA UNIT</t>
  </si>
  <si>
    <t>RUGI LABA KEPALA BARONGAN</t>
  </si>
  <si>
    <t>HASIL PENJUALAN (OMSET)</t>
  </si>
  <si>
    <t>LABA SETELAH PAJAK (NET INCOME)</t>
  </si>
  <si>
    <t xml:space="preserve">PENENTUAN HARGA JUAL KEPALA BARONGAN BERDASARKAN KOMUNIKASI PRIBADI DENGAN PENGRAJIN TERHADAP </t>
  </si>
  <si>
    <t>BIAYA PRODUKSI (HPP)</t>
  </si>
  <si>
    <t>CASH FLOW KEPALA BARONGAN</t>
  </si>
  <si>
    <t>Periode</t>
  </si>
  <si>
    <t>Depresiasi</t>
  </si>
  <si>
    <t>Proceed (Net Cash Flow)</t>
  </si>
  <si>
    <t>Total</t>
  </si>
  <si>
    <t>Harga Pokok Produksi Kepala Barongan</t>
  </si>
  <si>
    <t>HARGA POKOK PENJUALAN KEPALA BARONGAN</t>
  </si>
  <si>
    <t>Volume produksi Kepala Barongan/tahun</t>
  </si>
  <si>
    <t>Persediaan Barang Jadi Kepala Barongan</t>
  </si>
  <si>
    <t>Persediaan Barang Jadi Topeng Bujangganong</t>
  </si>
  <si>
    <t>Harga Pokok Produksi Topeng Bujangganong</t>
  </si>
  <si>
    <t>HARGA POKOK PENJUALAN TOPENG BUJANGGANONG</t>
  </si>
  <si>
    <t>Volume produksi Topeng Bujangganong/tahun</t>
  </si>
  <si>
    <t>Persediaan Barang Jadi Topeng Kelonosewandono</t>
  </si>
  <si>
    <t>Harga Pokok Produksi Topeng Kelonosewandono</t>
  </si>
  <si>
    <t>HARGA POKOK PENJUALAN TOPENG KELONOSEWANDONO</t>
  </si>
  <si>
    <t>Volume produksi Topeng Kelonosewandono/tahun</t>
  </si>
  <si>
    <t>Namun berdasarkan data dilapangan, para pengrajin mematok harga jual/unit jauh lebih tinggi</t>
  </si>
  <si>
    <t>daripada perhitungan Harga Pokok Penjualan</t>
  </si>
  <si>
    <t>Berdasarkan komunikasi pribadi peneliti dengan narasumber, harga jual/unit kerajinan</t>
  </si>
  <si>
    <t>aksesoris reog dapat dilihat pada tabel dibawah ini :</t>
  </si>
  <si>
    <t>Jenis Kerajinan</t>
  </si>
  <si>
    <t>Harga Jual/unit</t>
  </si>
  <si>
    <t xml:space="preserve">Harga ini merupakan rata-rata jawaban narasumber ketika ditanya peneliti terkait berapa </t>
  </si>
  <si>
    <t xml:space="preserve">harga jual per unit Kepala Barongan, Topeng Bujangganong, dan Topeng Kelonosewandono </t>
  </si>
  <si>
    <t>dari 9 pengrajin yang menjadi sampel dalam penelitian ini</t>
  </si>
  <si>
    <t xml:space="preserve">Spesifikasi 3 jenis kerajinan yang dijual per unit dengan harga tersebut merupakan </t>
  </si>
  <si>
    <t>kerajianan reog standar pentas, seperti FRN dan Grebeg Suro.</t>
  </si>
  <si>
    <r>
      <t xml:space="preserve">dilihat dalam sheet  </t>
    </r>
    <r>
      <rPr>
        <b/>
        <i/>
        <sz val="11"/>
        <color theme="1"/>
        <rFont val="Calibri"/>
        <family val="2"/>
        <scheme val="minor"/>
      </rPr>
      <t>Biaya Bahan Baku per unit</t>
    </r>
  </si>
  <si>
    <t>Bahan baku Jamang didatangkan dari pengrajin Solo</t>
  </si>
  <si>
    <t>Struktur halus dan warna mengkilat</t>
  </si>
  <si>
    <t>KEPALA BARONGAN</t>
  </si>
  <si>
    <t>tahun</t>
  </si>
  <si>
    <t>Usaha kerajinan aksesoris reog berupa kepala barongan dinyatakan layak karna nilai BCR &gt; 1</t>
  </si>
  <si>
    <t>KAPASITAS PRODUKSI TIAP TAHUN DIASUMSIKAN SAMA (Sumber : Komunikasi pribadi dengan Pengrajin)</t>
  </si>
  <si>
    <t>Analisa lengkap tentang spesifikasi produk yang jadi batasan penelitian ini dapat</t>
  </si>
  <si>
    <t>JAWABAN HARGA JUAL RATA-RATA PER UNIT KEPALA BARONGAN DARI TOTAL 9 PENGRAJIN</t>
  </si>
  <si>
    <t>jauh lebih besar dari bunga pinjaman kredit (KUR Mikro Bank BRI sebesar 6%)</t>
  </si>
  <si>
    <t xml:space="preserve">Alasan memilih KUR Mikro Bank BRI karena kredit ini biasa dipakai oleh pelaku UKM dan unitnya tersebar luas bahkan sampai ke pedesaan, </t>
  </si>
  <si>
    <t>diseluruh daerah di Indonesia</t>
  </si>
  <si>
    <t>Investasi kepala barongan akan kembali setelah 1,82 tahun atau 1 tahun 9 bulan 25 hari</t>
  </si>
  <si>
    <t>(Harga perolehan - Estimasi nilai sisa) / Usia ekonomis</t>
  </si>
  <si>
    <t>Rumus Manual:</t>
  </si>
  <si>
    <t>Period</t>
  </si>
  <si>
    <t>Cost</t>
  </si>
  <si>
    <t>Benefit</t>
  </si>
  <si>
    <t>PV Cost</t>
  </si>
  <si>
    <t>PV Benefit</t>
  </si>
  <si>
    <t xml:space="preserve">B/C RATIO : </t>
  </si>
  <si>
    <t>PV BENEFIT/PV COST</t>
  </si>
  <si>
    <t>DF</t>
  </si>
  <si>
    <t>Investasi Awal</t>
  </si>
  <si>
    <t>B/C RATIO :</t>
  </si>
  <si>
    <t>nilai kumulatif negatif terakhir</t>
  </si>
  <si>
    <t>nilai kumulatif positif pertama</t>
  </si>
  <si>
    <t>Tahun</t>
  </si>
  <si>
    <t>Pembelian</t>
  </si>
  <si>
    <t>Investasi</t>
  </si>
  <si>
    <t>RUGI LABA TOPENG BUJANGGANONG</t>
  </si>
  <si>
    <t>Laba Bersih (Net Income)</t>
  </si>
  <si>
    <t>CASH FLOW TOPENG BUJANGGANONG</t>
  </si>
  <si>
    <t>TOPENG BUJANGGANONG</t>
  </si>
  <si>
    <t>NET INCOME</t>
  </si>
  <si>
    <t>CASH FLOW TOPENG KELONOSEWANDONO</t>
  </si>
  <si>
    <t>TOPENG KELONOSEWANDONO</t>
  </si>
  <si>
    <t>Rumus PBP = t + (nilai kumulatif negatif tahun ke n / net cash flow tahun ke n + 1)</t>
  </si>
  <si>
    <t>B/C RATIO =</t>
  </si>
  <si>
    <t>Upah/unit pewarnaan</t>
  </si>
  <si>
    <t>Upah/unit sampai jadi</t>
  </si>
  <si>
    <t>Karna kapasitas produksi sedikit, proses menjadi barang setengah jadi seperti</t>
  </si>
  <si>
    <t xml:space="preserve">memahat dan mengukir dilakukan oleh Pengrajin sendiri. Sementara proses </t>
  </si>
  <si>
    <t>pewarnaan diserahkan kepada karyawan</t>
  </si>
  <si>
    <t>Total Biaya Upah Bujangganong</t>
  </si>
  <si>
    <t>3 biji</t>
  </si>
  <si>
    <t>Amplas Roll/mtr</t>
  </si>
  <si>
    <t>1 meter</t>
  </si>
  <si>
    <t>5 meter</t>
  </si>
  <si>
    <t>Bahan baku : Rambut Ekor Kuda</t>
  </si>
  <si>
    <t>HARGA JUAL PRODUK KEPALA BARONGAN/UNIT</t>
  </si>
  <si>
    <t>HARGA JUAL PRODUK TOPENG BUJANGGANONG/UNIT</t>
  </si>
  <si>
    <t>HARGA JUAL PRODUK TOPENG KELONOSEWANDONO/UNIT</t>
  </si>
  <si>
    <t>Karna nilai NPV Positif, maka usaha dinyatakan layak</t>
  </si>
  <si>
    <t>Upah/unit finishing</t>
  </si>
  <si>
    <t>Upah/pembuatan rangka</t>
  </si>
  <si>
    <t>DF =</t>
  </si>
  <si>
    <t>1/(1*(1+RATE)^PERIODD</t>
  </si>
  <si>
    <t>Usaha kerajinan aksesoris reog berupa kepala barongan dinyatakan layak karna memiliki tingkat pengembalian (IRR) sebesar</t>
  </si>
  <si>
    <t>NILAI YANG HILANG SELAMA MASA PENGGUNAAN</t>
  </si>
  <si>
    <t>COST PLUS PRICING METHOD</t>
  </si>
  <si>
    <t>MARK UP</t>
  </si>
  <si>
    <t>Menjalin Rotan/meter</t>
  </si>
  <si>
    <t>1 botol</t>
  </si>
  <si>
    <t>100 ml</t>
  </si>
  <si>
    <t>RUGI LABA TOPENG KELONOSEWANDONO</t>
  </si>
  <si>
    <t>n</t>
  </si>
  <si>
    <t>Nilai tersebut menunjukkan setiap pengeluaran biaya Rp1 akan menghasilkan manfaat 1,32 kali lipat</t>
  </si>
  <si>
    <t>yakni sebesar 4 persen, sedangkan inflasi ditarget maksimal 3 persen</t>
  </si>
  <si>
    <t xml:space="preserve">TOTAL KEBUTUHAN DANA TAHUN PERTAMA KEPALA BARONGAN =  TOTAL INVESTASI + BIAYA PRODUKSI TAHUN PERTAMA KEPALA BARONGAN </t>
  </si>
  <si>
    <t>TOTAL KEBUTUHAN DANA SEBELUM PAJAK PENGHASILAN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</si>
</sst>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Rp&quot;#,##0;[Red]\-&quot;Rp&quot;#,##0"/>
    <numFmt numFmtId="8" formatCode="&quot;Rp&quot;#,##0.00;[Red]\-&quot;Rp&quot;#,##0.00"/>
    <numFmt numFmtId="42" formatCode="_-&quot;Rp&quot;* #,##0_-;\-&quot;Rp&quot;* #,##0_-;_-&quot;Rp&quot;* &quot;-&quot;_-;_-@_-"/>
    <numFmt numFmtId="41" formatCode="_-* #,##0_-;\-* #,##0_-;_-* &quot;-&quot;_-;_-@_-"/>
    <numFmt numFmtId="44" formatCode="_-&quot;Rp&quot;* #,##0.00_-;\-&quot;Rp&quot;* #,##0.00_-;_-&quot;Rp&quot;* &quot;-&quot;??_-;_-@_-"/>
    <numFmt numFmtId="164" formatCode="_-[$Rp-421]* #,##0_-;\-[$Rp-421]* #,##0_-;_-[$Rp-421]* &quot;-&quot;??_-;_-@_-"/>
    <numFmt numFmtId="165" formatCode="_-&quot;Rp&quot;* #,##0.00_-;\-&quot;Rp&quot;* #,##0.00_-;_-&quot;Rp&quot;* &quot;-&quot;_-;_-@_-"/>
    <numFmt numFmtId="166" formatCode="_-&quot;Rp&quot;* #,##0_-;\-&quot;Rp&quot;* #,##0_-;_-&quot;Rp&quot;* &quot;-&quot;??_-;_-@_-"/>
    <numFmt numFmtId="167" formatCode="0.0%"/>
    <numFmt numFmtId="168" formatCode="0.000"/>
    <numFmt numFmtId="169" formatCode="_-&quot;Rp&quot;* #,##0_-;\-&quot;Rp&quot;* #,##0_-;_-&quot;Rp&quot;* &quot;-&quot;???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3" borderId="2" xfId="0" applyFont="1" applyFill="1" applyBorder="1"/>
    <xf numFmtId="0" fontId="2" fillId="3" borderId="3" xfId="0" applyFont="1" applyFill="1" applyBorder="1"/>
    <xf numFmtId="42" fontId="0" fillId="3" borderId="1" xfId="1" applyFont="1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/>
    </xf>
    <xf numFmtId="165" fontId="0" fillId="0" borderId="0" xfId="1" applyNumberFormat="1" applyFont="1"/>
    <xf numFmtId="0" fontId="0" fillId="0" borderId="1" xfId="0" applyFont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wrapText="1"/>
    </xf>
    <xf numFmtId="0" fontId="4" fillId="0" borderId="0" xfId="0" applyFont="1"/>
    <xf numFmtId="0" fontId="0" fillId="0" borderId="0" xfId="0" applyFon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2" fontId="0" fillId="0" borderId="1" xfId="1" applyFont="1" applyBorder="1"/>
    <xf numFmtId="0" fontId="0" fillId="0" borderId="1" xfId="0" applyFill="1" applyBorder="1"/>
    <xf numFmtId="0" fontId="2" fillId="0" borderId="0" xfId="0" applyFont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1" fontId="4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0" fontId="4" fillId="0" borderId="0" xfId="0" applyFont="1" applyFill="1"/>
    <xf numFmtId="9" fontId="0" fillId="0" borderId="1" xfId="3" applyFont="1" applyBorder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42" fontId="0" fillId="0" borderId="1" xfId="1" applyFont="1" applyBorder="1" applyAlignment="1">
      <alignment horizontal="center" vertical="center"/>
    </xf>
    <xf numFmtId="42" fontId="0" fillId="0" borderId="0" xfId="1" applyFont="1"/>
    <xf numFmtId="42" fontId="0" fillId="0" borderId="1" xfId="1" applyNumberFormat="1" applyFont="1" applyBorder="1" applyAlignment="1">
      <alignment horizontal="center" vertical="center"/>
    </xf>
    <xf numFmtId="164" fontId="0" fillId="0" borderId="1" xfId="2" applyNumberFormat="1" applyFont="1" applyBorder="1"/>
    <xf numFmtId="164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164" fontId="4" fillId="3" borderId="1" xfId="0" applyNumberFormat="1" applyFont="1" applyFill="1" applyBorder="1"/>
    <xf numFmtId="42" fontId="4" fillId="3" borderId="1" xfId="1" applyNumberFormat="1" applyFont="1" applyFill="1" applyBorder="1" applyAlignment="1">
      <alignment horizontal="center" vertical="center"/>
    </xf>
    <xf numFmtId="42" fontId="0" fillId="0" borderId="1" xfId="1" applyNumberFormat="1" applyFont="1" applyFill="1" applyBorder="1" applyAlignment="1">
      <alignment horizontal="center" vertical="center"/>
    </xf>
    <xf numFmtId="42" fontId="0" fillId="0" borderId="1" xfId="1" applyNumberFormat="1" applyFont="1" applyFill="1" applyBorder="1" applyAlignment="1">
      <alignment horizontal="center" vertical="center" wrapText="1"/>
    </xf>
    <xf numFmtId="42" fontId="0" fillId="0" borderId="1" xfId="1" applyNumberFormat="1" applyFont="1" applyBorder="1" applyAlignment="1">
      <alignment horizontal="center" vertical="center" wrapText="1"/>
    </xf>
    <xf numFmtId="42" fontId="0" fillId="0" borderId="1" xfId="1" applyNumberFormat="1" applyFont="1" applyBorder="1"/>
    <xf numFmtId="42" fontId="0" fillId="3" borderId="1" xfId="1" applyNumberFormat="1" applyFont="1" applyFill="1" applyBorder="1"/>
    <xf numFmtId="42" fontId="0" fillId="0" borderId="0" xfId="1" applyFont="1" applyBorder="1"/>
    <xf numFmtId="42" fontId="0" fillId="0" borderId="1" xfId="0" applyNumberFormat="1" applyBorder="1"/>
    <xf numFmtId="44" fontId="0" fillId="0" borderId="0" xfId="0" applyNumberFormat="1"/>
    <xf numFmtId="42" fontId="0" fillId="0" borderId="0" xfId="1" applyFont="1" applyFill="1" applyBorder="1"/>
    <xf numFmtId="42" fontId="0" fillId="3" borderId="1" xfId="0" applyNumberFormat="1" applyFill="1" applyBorder="1"/>
    <xf numFmtId="0" fontId="2" fillId="3" borderId="1" xfId="0" applyFont="1" applyFill="1" applyBorder="1" applyAlignment="1">
      <alignment horizontal="right" vertical="center"/>
    </xf>
    <xf numFmtId="9" fontId="2" fillId="3" borderId="12" xfId="0" applyNumberFormat="1" applyFont="1" applyFill="1" applyBorder="1" applyAlignment="1">
      <alignment horizontal="center" vertical="top" wrapText="1"/>
    </xf>
    <xf numFmtId="8" fontId="0" fillId="0" borderId="0" xfId="0" applyNumberFormat="1"/>
    <xf numFmtId="42" fontId="2" fillId="3" borderId="4" xfId="1" applyFont="1" applyFill="1" applyBorder="1"/>
    <xf numFmtId="1" fontId="0" fillId="3" borderId="1" xfId="0" applyNumberFormat="1" applyFill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42" fontId="0" fillId="3" borderId="1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66" fontId="0" fillId="0" borderId="1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left" vertical="center"/>
    </xf>
    <xf numFmtId="167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9" fontId="0" fillId="0" borderId="0" xfId="0" applyNumberFormat="1" applyAlignment="1">
      <alignment horizontal="left" vertical="center"/>
    </xf>
    <xf numFmtId="0" fontId="2" fillId="0" borderId="0" xfId="0" applyFont="1" applyAlignment="1">
      <alignment vertical="center" wrapText="1"/>
    </xf>
    <xf numFmtId="42" fontId="0" fillId="0" borderId="0" xfId="0" applyNumberFormat="1" applyFill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42" fontId="0" fillId="0" borderId="0" xfId="0" applyNumberFormat="1"/>
    <xf numFmtId="0" fontId="0" fillId="3" borderId="0" xfId="0" applyFill="1"/>
    <xf numFmtId="0" fontId="0" fillId="0" borderId="11" xfId="0" applyBorder="1"/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42" fontId="2" fillId="0" borderId="1" xfId="0" applyNumberFormat="1" applyFont="1" applyBorder="1"/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vertical="center"/>
    </xf>
    <xf numFmtId="42" fontId="0" fillId="0" borderId="1" xfId="0" applyNumberFormat="1" applyBorder="1" applyAlignment="1">
      <alignment vertical="center"/>
    </xf>
    <xf numFmtId="42" fontId="2" fillId="0" borderId="1" xfId="0" applyNumberFormat="1" applyFont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42" fontId="0" fillId="0" borderId="4" xfId="0" applyNumberForma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4" borderId="1" xfId="0" applyFill="1" applyBorder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42" fontId="0" fillId="0" borderId="1" xfId="0" applyNumberFormat="1" applyFill="1" applyBorder="1" applyAlignment="1">
      <alignment horizontal="center" vertical="center"/>
    </xf>
    <xf numFmtId="42" fontId="0" fillId="0" borderId="11" xfId="1" applyFont="1" applyBorder="1"/>
    <xf numFmtId="42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Fill="1" applyBorder="1"/>
    <xf numFmtId="0" fontId="0" fillId="3" borderId="3" xfId="0" applyFill="1" applyBorder="1"/>
    <xf numFmtId="42" fontId="0" fillId="0" borderId="11" xfId="1" applyFont="1" applyFill="1" applyBorder="1"/>
    <xf numFmtId="42" fontId="0" fillId="0" borderId="11" xfId="0" applyNumberFormat="1" applyBorder="1"/>
    <xf numFmtId="42" fontId="2" fillId="3" borderId="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42" fontId="2" fillId="3" borderId="4" xfId="0" applyNumberFormat="1" applyFont="1" applyFill="1" applyBorder="1"/>
    <xf numFmtId="0" fontId="2" fillId="4" borderId="1" xfId="0" applyFont="1" applyFill="1" applyBorder="1" applyAlignment="1">
      <alignment horizontal="right" vertical="center"/>
    </xf>
    <xf numFmtId="0" fontId="0" fillId="4" borderId="2" xfId="0" applyFill="1" applyBorder="1"/>
    <xf numFmtId="42" fontId="2" fillId="3" borderId="3" xfId="0" applyNumberFormat="1" applyFont="1" applyFill="1" applyBorder="1"/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167" fontId="0" fillId="0" borderId="0" xfId="0" applyNumberFormat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2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2" fontId="2" fillId="3" borderId="1" xfId="1" applyFont="1" applyFill="1" applyBorder="1"/>
    <xf numFmtId="0" fontId="2" fillId="0" borderId="0" xfId="0" applyFont="1" applyFill="1"/>
    <xf numFmtId="42" fontId="2" fillId="0" borderId="0" xfId="0" applyNumberFormat="1" applyFont="1"/>
    <xf numFmtId="166" fontId="0" fillId="0" borderId="0" xfId="0" applyNumberFormat="1"/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4" borderId="4" xfId="0" applyFill="1" applyBorder="1"/>
    <xf numFmtId="0" fontId="2" fillId="0" borderId="1" xfId="0" applyFont="1" applyBorder="1" applyAlignment="1">
      <alignment horizontal="left" vertical="center"/>
    </xf>
    <xf numFmtId="42" fontId="0" fillId="0" borderId="3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42" fontId="4" fillId="0" borderId="1" xfId="0" applyNumberFormat="1" applyFont="1" applyBorder="1" applyAlignment="1">
      <alignment vertical="center"/>
    </xf>
    <xf numFmtId="42" fontId="0" fillId="0" borderId="0" xfId="0" applyNumberForma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2" fontId="0" fillId="3" borderId="0" xfId="0" applyNumberFormat="1" applyFill="1" applyAlignment="1">
      <alignment horizontal="left"/>
    </xf>
    <xf numFmtId="0" fontId="2" fillId="3" borderId="0" xfId="0" applyFont="1" applyFill="1" applyAlignment="1">
      <alignment horizontal="right"/>
    </xf>
    <xf numFmtId="9" fontId="0" fillId="3" borderId="0" xfId="0" applyNumberFormat="1" applyFill="1" applyAlignment="1">
      <alignment horizontal="left"/>
    </xf>
    <xf numFmtId="42" fontId="0" fillId="3" borderId="0" xfId="0" applyNumberFormat="1" applyFill="1"/>
    <xf numFmtId="9" fontId="0" fillId="0" borderId="0" xfId="0" applyNumberFormat="1" applyFill="1" applyAlignment="1">
      <alignment horizontal="left"/>
    </xf>
    <xf numFmtId="0" fontId="2" fillId="0" borderId="0" xfId="0" applyFont="1" applyAlignment="1">
      <alignment horizontal="left"/>
    </xf>
    <xf numFmtId="1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2" fontId="0" fillId="0" borderId="1" xfId="1" applyFont="1" applyFill="1" applyBorder="1" applyAlignment="1">
      <alignment horizontal="center" vertical="center"/>
    </xf>
    <xf numFmtId="42" fontId="0" fillId="0" borderId="1" xfId="1" applyFont="1" applyFill="1" applyBorder="1"/>
    <xf numFmtId="42" fontId="0" fillId="0" borderId="1" xfId="0" applyNumberFormat="1" applyFill="1" applyBorder="1"/>
    <xf numFmtId="8" fontId="0" fillId="0" borderId="0" xfId="0" applyNumberFormat="1" applyFill="1"/>
    <xf numFmtId="9" fontId="0" fillId="0" borderId="0" xfId="0" applyNumberFormat="1"/>
    <xf numFmtId="0" fontId="0" fillId="0" borderId="0" xfId="0" applyNumberFormat="1"/>
    <xf numFmtId="0" fontId="2" fillId="0" borderId="0" xfId="0" applyFont="1" applyFill="1" applyBorder="1"/>
    <xf numFmtId="168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42" fontId="0" fillId="0" borderId="0" xfId="0" applyNumberForma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left"/>
    </xf>
    <xf numFmtId="0" fontId="0" fillId="0" borderId="12" xfId="0" applyBorder="1" applyAlignment="1">
      <alignment horizontal="center" vertical="center"/>
    </xf>
    <xf numFmtId="42" fontId="0" fillId="0" borderId="12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9" fontId="2" fillId="3" borderId="1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42" fontId="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2" fontId="2" fillId="3" borderId="10" xfId="0" applyNumberFormat="1" applyFont="1" applyFill="1" applyBorder="1" applyAlignment="1">
      <alignment horizontal="right" vertical="center"/>
    </xf>
    <xf numFmtId="42" fontId="2" fillId="3" borderId="5" xfId="0" applyNumberFormat="1" applyFont="1" applyFill="1" applyBorder="1" applyAlignment="1">
      <alignment horizontal="right" vertical="center"/>
    </xf>
    <xf numFmtId="42" fontId="2" fillId="3" borderId="14" xfId="0" applyNumberFormat="1" applyFont="1" applyFill="1" applyBorder="1" applyAlignment="1">
      <alignment horizontal="center" vertical="center"/>
    </xf>
    <xf numFmtId="42" fontId="2" fillId="3" borderId="9" xfId="0" applyNumberFormat="1" applyFont="1" applyFill="1" applyBorder="1" applyAlignment="1">
      <alignment horizontal="center" vertical="center"/>
    </xf>
    <xf numFmtId="42" fontId="2" fillId="3" borderId="14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right"/>
    </xf>
    <xf numFmtId="1" fontId="0" fillId="0" borderId="0" xfId="0" applyNumberFormat="1"/>
    <xf numFmtId="6" fontId="0" fillId="3" borderId="0" xfId="0" applyNumberFormat="1" applyFill="1" applyAlignment="1">
      <alignment horizontal="left"/>
    </xf>
    <xf numFmtId="1" fontId="0" fillId="4" borderId="2" xfId="0" applyNumberFormat="1" applyFill="1" applyBorder="1"/>
    <xf numFmtId="9" fontId="2" fillId="3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42" fontId="0" fillId="0" borderId="0" xfId="1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42" fontId="0" fillId="0" borderId="2" xfId="1" applyNumberFormat="1" applyFont="1" applyBorder="1" applyAlignment="1">
      <alignment horizontal="center" vertical="center"/>
    </xf>
    <xf numFmtId="42" fontId="0" fillId="3" borderId="2" xfId="1" applyNumberFormat="1" applyFont="1" applyFill="1" applyBorder="1" applyAlignment="1">
      <alignment horizontal="center" vertical="center"/>
    </xf>
    <xf numFmtId="42" fontId="0" fillId="0" borderId="1" xfId="1" applyFont="1" applyBorder="1" applyAlignment="1">
      <alignment horizontal="center"/>
    </xf>
    <xf numFmtId="42" fontId="2" fillId="3" borderId="4" xfId="0" applyNumberFormat="1" applyFont="1" applyFill="1" applyBorder="1" applyAlignment="1"/>
    <xf numFmtId="42" fontId="0" fillId="3" borderId="0" xfId="0" applyNumberFormat="1" applyFill="1" applyAlignment="1">
      <alignment horizontal="left"/>
    </xf>
    <xf numFmtId="168" fontId="0" fillId="0" borderId="12" xfId="0" applyNumberFormat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2" fontId="0" fillId="4" borderId="2" xfId="0" applyNumberFormat="1" applyFill="1" applyBorder="1" applyAlignment="1">
      <alignment horizontal="center"/>
    </xf>
    <xf numFmtId="42" fontId="0" fillId="4" borderId="4" xfId="0" applyNumberFormat="1" applyFill="1" applyBorder="1" applyAlignment="1">
      <alignment horizontal="center"/>
    </xf>
    <xf numFmtId="42" fontId="2" fillId="4" borderId="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2" fontId="2" fillId="4" borderId="8" xfId="0" applyNumberFormat="1" applyFont="1" applyFill="1" applyBorder="1" applyAlignment="1">
      <alignment horizontal="center"/>
    </xf>
    <xf numFmtId="42" fontId="2" fillId="4" borderId="9" xfId="0" applyNumberFormat="1" applyFont="1" applyFill="1" applyBorder="1" applyAlignment="1">
      <alignment horizontal="center"/>
    </xf>
    <xf numFmtId="42" fontId="0" fillId="3" borderId="2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2" fontId="2" fillId="4" borderId="2" xfId="0" applyNumberFormat="1" applyFont="1" applyFill="1" applyBorder="1" applyAlignment="1">
      <alignment horizontal="center"/>
    </xf>
    <xf numFmtId="42" fontId="2" fillId="4" borderId="4" xfId="0" applyNumberFormat="1" applyFont="1" applyFill="1" applyBorder="1" applyAlignment="1">
      <alignment horizontal="center"/>
    </xf>
    <xf numFmtId="42" fontId="2" fillId="3" borderId="2" xfId="0" applyNumberFormat="1" applyFont="1" applyFill="1" applyBorder="1" applyAlignment="1">
      <alignment horizontal="center"/>
    </xf>
    <xf numFmtId="42" fontId="2" fillId="3" borderId="4" xfId="0" applyNumberFormat="1" applyFont="1" applyFill="1" applyBorder="1" applyAlignment="1">
      <alignment horizontal="center"/>
    </xf>
    <xf numFmtId="42" fontId="2" fillId="0" borderId="2" xfId="0" applyNumberFormat="1" applyFont="1" applyBorder="1" applyAlignment="1">
      <alignment horizontal="center"/>
    </xf>
    <xf numFmtId="42" fontId="2" fillId="0" borderId="4" xfId="0" applyNumberFormat="1" applyFont="1" applyBorder="1" applyAlignment="1">
      <alignment horizontal="center"/>
    </xf>
    <xf numFmtId="42" fontId="2" fillId="0" borderId="2" xfId="1" applyFont="1" applyBorder="1" applyAlignment="1">
      <alignment horizontal="center"/>
    </xf>
    <xf numFmtId="42" fontId="2" fillId="0" borderId="4" xfId="1" applyFont="1" applyBorder="1" applyAlignment="1">
      <alignment horizontal="center"/>
    </xf>
    <xf numFmtId="42" fontId="0" fillId="0" borderId="2" xfId="1" applyFont="1" applyBorder="1" applyAlignment="1">
      <alignment horizontal="center"/>
    </xf>
    <xf numFmtId="42" fontId="0" fillId="0" borderId="4" xfId="1" applyFont="1" applyBorder="1" applyAlignment="1">
      <alignment horizontal="center"/>
    </xf>
    <xf numFmtId="42" fontId="4" fillId="0" borderId="2" xfId="0" applyNumberFormat="1" applyFont="1" applyBorder="1" applyAlignment="1">
      <alignment horizontal="center"/>
    </xf>
    <xf numFmtId="42" fontId="4" fillId="0" borderId="4" xfId="0" applyNumberFormat="1" applyFont="1" applyBorder="1" applyAlignment="1">
      <alignment horizontal="center"/>
    </xf>
    <xf numFmtId="42" fontId="0" fillId="0" borderId="2" xfId="0" applyNumberFormat="1" applyBorder="1" applyAlignment="1">
      <alignment horizontal="center"/>
    </xf>
    <xf numFmtId="42" fontId="0" fillId="0" borderId="4" xfId="0" applyNumberFormat="1" applyBorder="1" applyAlignment="1">
      <alignment horizontal="center"/>
    </xf>
    <xf numFmtId="4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2" fontId="2" fillId="3" borderId="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2" fontId="2" fillId="0" borderId="2" xfId="0" applyNumberFormat="1" applyFont="1" applyBorder="1" applyAlignment="1">
      <alignment horizontal="center" vertical="center"/>
    </xf>
    <xf numFmtId="42" fontId="2" fillId="0" borderId="4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2" fontId="4" fillId="0" borderId="2" xfId="1" applyFont="1" applyBorder="1" applyAlignment="1">
      <alignment horizontal="center"/>
    </xf>
    <xf numFmtId="42" fontId="4" fillId="0" borderId="4" xfId="1" applyFont="1" applyBorder="1" applyAlignment="1">
      <alignment horizontal="center"/>
    </xf>
    <xf numFmtId="42" fontId="4" fillId="0" borderId="2" xfId="0" applyNumberFormat="1" applyFont="1" applyBorder="1" applyAlignment="1">
      <alignment horizontal="center" vertical="center"/>
    </xf>
    <xf numFmtId="42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42" fontId="2" fillId="3" borderId="11" xfId="0" applyNumberFormat="1" applyFont="1" applyFill="1" applyBorder="1" applyAlignment="1">
      <alignment horizontal="center" vertical="center"/>
    </xf>
    <xf numFmtId="42" fontId="2" fillId="3" borderId="12" xfId="0" applyNumberFormat="1" applyFont="1" applyFill="1" applyBorder="1" applyAlignment="1">
      <alignment horizontal="center" vertical="center"/>
    </xf>
    <xf numFmtId="42" fontId="2" fillId="3" borderId="8" xfId="0" applyNumberFormat="1" applyFont="1" applyFill="1" applyBorder="1" applyAlignment="1">
      <alignment horizontal="right" vertical="center"/>
    </xf>
    <xf numFmtId="42" fontId="2" fillId="3" borderId="13" xfId="0" applyNumberFormat="1" applyFont="1" applyFill="1" applyBorder="1" applyAlignment="1">
      <alignment horizontal="right" vertical="center"/>
    </xf>
    <xf numFmtId="42" fontId="2" fillId="3" borderId="9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4">
    <cellStyle name="Comma [0]" xfId="2" builtinId="6"/>
    <cellStyle name="Currency [0]" xfId="1" builtinId="7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22"/>
  <sheetViews>
    <sheetView showGridLines="0" topLeftCell="A2" workbookViewId="0">
      <selection activeCell="A11" sqref="A11"/>
    </sheetView>
  </sheetViews>
  <sheetFormatPr defaultRowHeight="15" x14ac:dyDescent="0.25"/>
  <cols>
    <col min="2" max="2" width="19.42578125" customWidth="1"/>
    <col min="3" max="3" width="15" customWidth="1"/>
    <col min="4" max="4" width="13.28515625" customWidth="1"/>
    <col min="5" max="5" width="3.7109375" customWidth="1"/>
    <col min="6" max="6" width="19.42578125" customWidth="1"/>
    <col min="7" max="7" width="16.140625" customWidth="1"/>
    <col min="8" max="8" width="13.140625" customWidth="1"/>
    <col min="9" max="9" width="3.85546875" customWidth="1"/>
    <col min="10" max="10" width="21.140625" customWidth="1"/>
    <col min="11" max="11" width="18.140625" customWidth="1"/>
    <col min="12" max="12" width="13.85546875" customWidth="1"/>
    <col min="13" max="13" width="3.7109375" customWidth="1"/>
    <col min="14" max="14" width="21.42578125" customWidth="1"/>
    <col min="15" max="15" width="14.42578125" customWidth="1"/>
    <col min="16" max="16" width="13" customWidth="1"/>
  </cols>
  <sheetData>
    <row r="2" spans="1:16" x14ac:dyDescent="0.25">
      <c r="C2" s="15" t="s">
        <v>15</v>
      </c>
      <c r="G2" s="15" t="s">
        <v>25</v>
      </c>
      <c r="K2" s="15" t="s">
        <v>28</v>
      </c>
      <c r="O2" s="15" t="s">
        <v>50</v>
      </c>
    </row>
    <row r="3" spans="1:16" x14ac:dyDescent="0.25">
      <c r="B3" s="218" t="s">
        <v>167</v>
      </c>
      <c r="C3" s="218"/>
      <c r="D3" s="218"/>
      <c r="F3" s="218" t="s">
        <v>168</v>
      </c>
      <c r="G3" s="218"/>
      <c r="H3" s="218"/>
      <c r="J3" s="218" t="s">
        <v>169</v>
      </c>
      <c r="K3" s="218"/>
      <c r="L3" s="218"/>
      <c r="N3" s="218" t="s">
        <v>173</v>
      </c>
      <c r="O3" s="218"/>
      <c r="P3" s="218"/>
    </row>
    <row r="4" spans="1:16" ht="23.25" customHeight="1" x14ac:dyDescent="0.25">
      <c r="B4" s="219"/>
      <c r="C4" s="219"/>
      <c r="D4" s="219"/>
      <c r="F4" s="218"/>
      <c r="G4" s="218"/>
      <c r="H4" s="218"/>
      <c r="J4" s="218"/>
      <c r="K4" s="218"/>
      <c r="L4" s="218"/>
      <c r="N4" s="219"/>
      <c r="O4" s="219"/>
      <c r="P4" s="219"/>
    </row>
    <row r="5" spans="1:16" ht="32.25" customHeight="1" x14ac:dyDescent="0.25">
      <c r="B5" s="10" t="s">
        <v>9</v>
      </c>
      <c r="C5" s="11" t="s">
        <v>10</v>
      </c>
      <c r="D5" s="10" t="s">
        <v>11</v>
      </c>
      <c r="F5" s="10" t="s">
        <v>18</v>
      </c>
      <c r="G5" s="11" t="s">
        <v>10</v>
      </c>
      <c r="H5" s="10" t="s">
        <v>11</v>
      </c>
      <c r="J5" s="10" t="s">
        <v>24</v>
      </c>
      <c r="K5" s="11" t="s">
        <v>10</v>
      </c>
      <c r="L5" s="10" t="s">
        <v>11</v>
      </c>
      <c r="N5" s="10" t="s">
        <v>46</v>
      </c>
      <c r="O5" s="11" t="s">
        <v>10</v>
      </c>
      <c r="P5" s="10" t="s">
        <v>11</v>
      </c>
    </row>
    <row r="6" spans="1:16" x14ac:dyDescent="0.25">
      <c r="B6" s="12" t="s">
        <v>45</v>
      </c>
      <c r="C6" s="3">
        <v>1</v>
      </c>
      <c r="D6" s="17">
        <f>C6/C10</f>
        <v>0.1111111111111111</v>
      </c>
      <c r="F6" s="12" t="s">
        <v>19</v>
      </c>
      <c r="G6" s="3" t="s">
        <v>99</v>
      </c>
      <c r="H6" s="17" t="s">
        <v>99</v>
      </c>
      <c r="J6" s="12" t="s">
        <v>26</v>
      </c>
      <c r="K6" s="3">
        <v>8</v>
      </c>
      <c r="L6" s="17">
        <v>0.9</v>
      </c>
      <c r="N6" s="9" t="s">
        <v>47</v>
      </c>
      <c r="O6" s="3" t="s">
        <v>99</v>
      </c>
      <c r="P6" s="17" t="s">
        <v>99</v>
      </c>
    </row>
    <row r="7" spans="1:16" x14ac:dyDescent="0.25">
      <c r="B7" s="12" t="s">
        <v>12</v>
      </c>
      <c r="C7" s="3">
        <v>3</v>
      </c>
      <c r="D7" s="65">
        <f>C7/C10</f>
        <v>0.33333333333333331</v>
      </c>
      <c r="F7" s="12" t="s">
        <v>20</v>
      </c>
      <c r="G7" s="3">
        <v>1</v>
      </c>
      <c r="H7" s="17">
        <v>0.1</v>
      </c>
      <c r="J7" s="12" t="s">
        <v>27</v>
      </c>
      <c r="K7" s="3">
        <v>1</v>
      </c>
      <c r="L7" s="17">
        <v>0.1</v>
      </c>
      <c r="N7" s="9" t="s">
        <v>48</v>
      </c>
      <c r="O7" s="3">
        <v>9</v>
      </c>
      <c r="P7" s="17">
        <f>O7/O9</f>
        <v>1</v>
      </c>
    </row>
    <row r="8" spans="1:16" x14ac:dyDescent="0.25">
      <c r="B8" s="12" t="s">
        <v>13</v>
      </c>
      <c r="C8" s="3">
        <v>3</v>
      </c>
      <c r="D8" s="65">
        <f>C8/C10</f>
        <v>0.33333333333333331</v>
      </c>
      <c r="F8" s="12" t="s">
        <v>21</v>
      </c>
      <c r="G8" s="3">
        <v>8</v>
      </c>
      <c r="H8" s="17">
        <v>0.9</v>
      </c>
      <c r="J8" s="12" t="s">
        <v>1</v>
      </c>
      <c r="K8" s="3">
        <v>9</v>
      </c>
      <c r="L8" s="17">
        <f>L7+L6</f>
        <v>1</v>
      </c>
      <c r="N8" s="9" t="s">
        <v>49</v>
      </c>
      <c r="O8" s="3" t="s">
        <v>99</v>
      </c>
      <c r="P8" s="17" t="s">
        <v>99</v>
      </c>
    </row>
    <row r="9" spans="1:16" x14ac:dyDescent="0.25">
      <c r="B9" s="12" t="s">
        <v>14</v>
      </c>
      <c r="C9" s="3">
        <v>2</v>
      </c>
      <c r="D9" s="65">
        <f>C9/C10</f>
        <v>0.22222222222222221</v>
      </c>
      <c r="F9" s="12" t="s">
        <v>22</v>
      </c>
      <c r="G9" s="3" t="s">
        <v>99</v>
      </c>
      <c r="H9" s="17" t="s">
        <v>99</v>
      </c>
      <c r="J9" s="16" t="s">
        <v>16</v>
      </c>
      <c r="N9" s="9" t="s">
        <v>1</v>
      </c>
      <c r="O9" s="3">
        <v>9</v>
      </c>
      <c r="P9" s="17">
        <f>P7</f>
        <v>1</v>
      </c>
    </row>
    <row r="10" spans="1:16" x14ac:dyDescent="0.25">
      <c r="B10" s="12" t="s">
        <v>1</v>
      </c>
      <c r="C10" s="3">
        <f>SUM(C6:C9)</f>
        <v>9</v>
      </c>
      <c r="D10" s="17">
        <f>SUM(D6:D9)</f>
        <v>0.99999999999999989</v>
      </c>
      <c r="F10" s="12" t="s">
        <v>23</v>
      </c>
      <c r="G10" s="3" t="s">
        <v>99</v>
      </c>
      <c r="H10" s="17" t="s">
        <v>99</v>
      </c>
    </row>
    <row r="11" spans="1:16" x14ac:dyDescent="0.25">
      <c r="A11" s="5"/>
      <c r="B11" s="16" t="s">
        <v>16</v>
      </c>
      <c r="F11" s="12" t="s">
        <v>1</v>
      </c>
      <c r="G11" s="3">
        <v>9</v>
      </c>
      <c r="H11" s="17">
        <f>SUM(H7:H8)</f>
        <v>1</v>
      </c>
    </row>
    <row r="12" spans="1:16" x14ac:dyDescent="0.25">
      <c r="F12" s="16" t="s">
        <v>16</v>
      </c>
      <c r="K12" s="15" t="s">
        <v>38</v>
      </c>
    </row>
    <row r="13" spans="1:16" x14ac:dyDescent="0.25">
      <c r="F13" s="18"/>
      <c r="J13" s="218" t="s">
        <v>172</v>
      </c>
      <c r="K13" s="218"/>
      <c r="L13" s="218"/>
    </row>
    <row r="14" spans="1:16" x14ac:dyDescent="0.25">
      <c r="C14" s="15" t="s">
        <v>17</v>
      </c>
      <c r="G14" s="15" t="s">
        <v>33</v>
      </c>
      <c r="J14" s="219"/>
      <c r="K14" s="219"/>
      <c r="L14" s="219"/>
    </row>
    <row r="15" spans="1:16" ht="30" x14ac:dyDescent="0.25">
      <c r="B15" s="218" t="s">
        <v>170</v>
      </c>
      <c r="C15" s="218"/>
      <c r="D15" s="218"/>
      <c r="F15" s="218" t="s">
        <v>171</v>
      </c>
      <c r="G15" s="218"/>
      <c r="H15" s="218"/>
      <c r="J15" s="10" t="s">
        <v>39</v>
      </c>
      <c r="K15" s="11" t="s">
        <v>10</v>
      </c>
      <c r="L15" s="10" t="s">
        <v>11</v>
      </c>
    </row>
    <row r="16" spans="1:16" ht="18" customHeight="1" x14ac:dyDescent="0.25">
      <c r="B16" s="219"/>
      <c r="C16" s="219"/>
      <c r="D16" s="219"/>
      <c r="F16" s="219"/>
      <c r="G16" s="219"/>
      <c r="H16" s="219"/>
      <c r="J16" s="20" t="s">
        <v>40</v>
      </c>
      <c r="K16" s="3">
        <v>5</v>
      </c>
      <c r="L16" s="17">
        <f>K16/K19</f>
        <v>0.55555555555555558</v>
      </c>
    </row>
    <row r="17" spans="2:12" ht="30" x14ac:dyDescent="0.25">
      <c r="B17" s="10" t="s">
        <v>31</v>
      </c>
      <c r="C17" s="11" t="s">
        <v>10</v>
      </c>
      <c r="D17" s="10" t="s">
        <v>11</v>
      </c>
      <c r="F17" s="10" t="s">
        <v>32</v>
      </c>
      <c r="G17" s="11" t="s">
        <v>10</v>
      </c>
      <c r="H17" s="10" t="s">
        <v>11</v>
      </c>
      <c r="J17" s="20" t="s">
        <v>41</v>
      </c>
      <c r="K17" s="3" t="s">
        <v>99</v>
      </c>
      <c r="L17" s="17" t="s">
        <v>99</v>
      </c>
    </row>
    <row r="18" spans="2:12" x14ac:dyDescent="0.25">
      <c r="B18" s="9" t="s">
        <v>29</v>
      </c>
      <c r="C18" s="3">
        <v>2</v>
      </c>
      <c r="D18" s="17">
        <f>C18/C20</f>
        <v>0.22222222222222221</v>
      </c>
      <c r="F18" s="12" t="s">
        <v>34</v>
      </c>
      <c r="G18" s="3">
        <v>9</v>
      </c>
      <c r="H18" s="66">
        <f>G18/G22</f>
        <v>1</v>
      </c>
      <c r="J18" s="20" t="s">
        <v>42</v>
      </c>
      <c r="K18" s="3">
        <v>4</v>
      </c>
      <c r="L18" s="17">
        <f>K18/K19</f>
        <v>0.44444444444444442</v>
      </c>
    </row>
    <row r="19" spans="2:12" x14ac:dyDescent="0.25">
      <c r="B19" s="9" t="s">
        <v>30</v>
      </c>
      <c r="C19" s="3">
        <v>7</v>
      </c>
      <c r="D19" s="17">
        <f>C19/C20</f>
        <v>0.77777777777777779</v>
      </c>
      <c r="F19" s="12" t="s">
        <v>35</v>
      </c>
      <c r="G19" s="3" t="s">
        <v>99</v>
      </c>
      <c r="H19" s="66" t="s">
        <v>99</v>
      </c>
      <c r="J19" s="12" t="s">
        <v>1</v>
      </c>
      <c r="K19" s="3">
        <v>9</v>
      </c>
      <c r="L19" s="17">
        <f>SUM(L16:L18)</f>
        <v>1</v>
      </c>
    </row>
    <row r="20" spans="2:12" x14ac:dyDescent="0.25">
      <c r="B20" s="9" t="s">
        <v>1</v>
      </c>
      <c r="C20" s="3">
        <v>9</v>
      </c>
      <c r="D20" s="17">
        <f>SUM(D18:D19)</f>
        <v>1</v>
      </c>
      <c r="F20" s="12" t="s">
        <v>36</v>
      </c>
      <c r="G20" s="3" t="s">
        <v>99</v>
      </c>
      <c r="H20" s="66" t="s">
        <v>99</v>
      </c>
    </row>
    <row r="21" spans="2:12" x14ac:dyDescent="0.25">
      <c r="F21" s="12" t="s">
        <v>37</v>
      </c>
      <c r="G21" s="3" t="s">
        <v>99</v>
      </c>
      <c r="H21" s="66" t="s">
        <v>99</v>
      </c>
    </row>
    <row r="22" spans="2:12" x14ac:dyDescent="0.25">
      <c r="F22" s="12" t="s">
        <v>1</v>
      </c>
      <c r="G22" s="3">
        <v>9</v>
      </c>
      <c r="H22" s="66">
        <f>H18</f>
        <v>1</v>
      </c>
    </row>
  </sheetData>
  <mergeCells count="7">
    <mergeCell ref="N3:P4"/>
    <mergeCell ref="B3:D4"/>
    <mergeCell ref="F3:H4"/>
    <mergeCell ref="J3:L4"/>
    <mergeCell ref="B15:D16"/>
    <mergeCell ref="F15:H16"/>
    <mergeCell ref="J13:L14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9"/>
  <sheetViews>
    <sheetView showGridLines="0" topLeftCell="A5" workbookViewId="0">
      <selection activeCell="E23" sqref="E23"/>
    </sheetView>
  </sheetViews>
  <sheetFormatPr defaultRowHeight="15" x14ac:dyDescent="0.25"/>
  <cols>
    <col min="4" max="4" width="49" customWidth="1"/>
    <col min="5" max="9" width="19.85546875" customWidth="1"/>
    <col min="10" max="15" width="21.5703125" customWidth="1"/>
  </cols>
  <sheetData>
    <row r="1" spans="3:15" x14ac:dyDescent="0.25">
      <c r="E1" s="104"/>
      <c r="G1" s="104"/>
    </row>
    <row r="2" spans="3:15" x14ac:dyDescent="0.25">
      <c r="C2" s="1" t="s">
        <v>219</v>
      </c>
      <c r="H2" s="154"/>
    </row>
    <row r="3" spans="3:15" x14ac:dyDescent="0.25">
      <c r="C3" s="1"/>
    </row>
    <row r="4" spans="3:15" x14ac:dyDescent="0.25">
      <c r="D4" s="92" t="s">
        <v>160</v>
      </c>
      <c r="E4" s="94">
        <v>7.0000000000000007E-2</v>
      </c>
    </row>
    <row r="5" spans="3:15" x14ac:dyDescent="0.25">
      <c r="C5" s="44" t="s">
        <v>2</v>
      </c>
      <c r="D5" s="44" t="s">
        <v>8</v>
      </c>
      <c r="E5" s="44">
        <v>2020</v>
      </c>
      <c r="F5" s="44">
        <v>2021</v>
      </c>
      <c r="G5" s="44">
        <v>2022</v>
      </c>
      <c r="H5" s="44">
        <v>2023</v>
      </c>
      <c r="I5" s="44">
        <v>2024</v>
      </c>
      <c r="J5" s="55">
        <v>2025</v>
      </c>
      <c r="K5" s="55">
        <v>2026</v>
      </c>
      <c r="L5" s="55">
        <v>2027</v>
      </c>
      <c r="M5" s="55">
        <v>2028</v>
      </c>
      <c r="N5" s="55">
        <v>2029</v>
      </c>
      <c r="O5" s="55">
        <v>2030</v>
      </c>
    </row>
    <row r="6" spans="3:15" x14ac:dyDescent="0.25">
      <c r="C6" s="3">
        <v>1</v>
      </c>
      <c r="D6" s="2" t="s">
        <v>225</v>
      </c>
      <c r="E6" s="81">
        <f>'Distribusi Biaya Tenaga Kerjaa'!D15*'Distribusi Biaya Tenaga Kerjaa'!E15*'Kapasitas Produksi'!E16</f>
        <v>2300000</v>
      </c>
      <c r="F6" s="81">
        <f>E6*$E$4+E6</f>
        <v>2461000</v>
      </c>
      <c r="G6" s="81">
        <f t="shared" ref="G6:I6" si="0">F6*$E$4+F6</f>
        <v>2633270</v>
      </c>
      <c r="H6" s="81">
        <f t="shared" si="0"/>
        <v>2817598.9</v>
      </c>
      <c r="I6" s="81">
        <f t="shared" si="0"/>
        <v>3014830.8229999999</v>
      </c>
      <c r="J6" s="81">
        <f t="shared" ref="J6:J8" si="1">I6*$E$4+I6</f>
        <v>3225868.98061</v>
      </c>
      <c r="K6" s="81">
        <f t="shared" ref="K6:K8" si="2">J6*$E$4+J6</f>
        <v>3451679.8092526998</v>
      </c>
      <c r="L6" s="81">
        <f t="shared" ref="L6:L8" si="3">K6*$E$4+K6</f>
        <v>3693297.3959003887</v>
      </c>
      <c r="M6" s="81">
        <f t="shared" ref="M6:M8" si="4">L6*$E$4+L6</f>
        <v>3951828.2136134161</v>
      </c>
      <c r="N6" s="81">
        <f t="shared" ref="N6:N8" si="5">M6*$E$4+M6</f>
        <v>4228456.188566355</v>
      </c>
      <c r="O6" s="81">
        <f t="shared" ref="O6:O8" si="6">N6*$E$4+N6</f>
        <v>4524448.1217660001</v>
      </c>
    </row>
    <row r="7" spans="3:15" s="32" customFormat="1" x14ac:dyDescent="0.25">
      <c r="C7" s="24">
        <v>2</v>
      </c>
      <c r="D7" s="40" t="s">
        <v>226</v>
      </c>
      <c r="E7" s="179">
        <f>'Distribusi Biaya Tenaga Kerjaa'!F29*'Distribusi Biaya Tenaga Kerjaa'!E28*'Kapasitas Produksi'!G16</f>
        <v>21394285.714285716</v>
      </c>
      <c r="F7" s="179">
        <f>E7*$E$4+E7</f>
        <v>22891885.714285716</v>
      </c>
      <c r="G7" s="179">
        <f t="shared" ref="G7:I7" si="7">F7*$E$4+F7</f>
        <v>24494317.714285716</v>
      </c>
      <c r="H7" s="179">
        <f t="shared" si="7"/>
        <v>26208919.954285719</v>
      </c>
      <c r="I7" s="179">
        <f t="shared" si="7"/>
        <v>28043544.351085719</v>
      </c>
      <c r="J7" s="179">
        <f t="shared" si="1"/>
        <v>30006592.455661718</v>
      </c>
      <c r="K7" s="179">
        <f t="shared" si="2"/>
        <v>32107053.927558038</v>
      </c>
      <c r="L7" s="179">
        <f t="shared" si="3"/>
        <v>34354547.702487104</v>
      </c>
      <c r="M7" s="179">
        <f t="shared" si="4"/>
        <v>36759366.041661203</v>
      </c>
      <c r="N7" s="179">
        <f t="shared" si="5"/>
        <v>39332521.664577484</v>
      </c>
      <c r="O7" s="179">
        <f t="shared" si="6"/>
        <v>42085798.18109791</v>
      </c>
    </row>
    <row r="8" spans="3:15" x14ac:dyDescent="0.25">
      <c r="C8" s="3">
        <v>3</v>
      </c>
      <c r="D8" s="2" t="s">
        <v>227</v>
      </c>
      <c r="E8" s="81">
        <f>'Distribusi Biaya Tenaga Kerjaa'!D42*'Distribusi Biaya Tenaga Kerjaa'!E42*'Kapasitas Produksi'!I16</f>
        <v>64500</v>
      </c>
      <c r="F8" s="81">
        <f>E8*$E$4+E8</f>
        <v>69015</v>
      </c>
      <c r="G8" s="81">
        <f t="shared" ref="G8:I8" si="8">F8*$E$4+F8</f>
        <v>73846.05</v>
      </c>
      <c r="H8" s="81">
        <f t="shared" si="8"/>
        <v>79015.27350000001</v>
      </c>
      <c r="I8" s="81">
        <f t="shared" si="8"/>
        <v>84546.342645000012</v>
      </c>
      <c r="J8" s="81">
        <f t="shared" si="1"/>
        <v>90464.586630150006</v>
      </c>
      <c r="K8" s="81">
        <f t="shared" si="2"/>
        <v>96797.107694260514</v>
      </c>
      <c r="L8" s="81">
        <f t="shared" si="3"/>
        <v>103572.90523285876</v>
      </c>
      <c r="M8" s="81">
        <f t="shared" si="4"/>
        <v>110823.00859915887</v>
      </c>
      <c r="N8" s="81">
        <f t="shared" si="5"/>
        <v>118580.61920109999</v>
      </c>
      <c r="O8" s="81">
        <f t="shared" si="6"/>
        <v>126881.262545177</v>
      </c>
    </row>
    <row r="9" spans="3:15" x14ac:dyDescent="0.25">
      <c r="C9" s="3">
        <v>4</v>
      </c>
      <c r="D9" s="2" t="s">
        <v>220</v>
      </c>
      <c r="E9" s="81">
        <f>E18*'Kapasitas Produksi'!E16</f>
        <v>3317706</v>
      </c>
      <c r="F9" s="39">
        <f>F18*'Kapasitas Produksi'!E16</f>
        <v>3549945.4200000004</v>
      </c>
      <c r="G9" s="39">
        <f>G18*'Kapasitas Produksi'!E16</f>
        <v>3798441.5994000002</v>
      </c>
      <c r="H9" s="67">
        <f>H18*'Kapasitas Produksi'!E16</f>
        <v>4064332.5113579999</v>
      </c>
      <c r="I9" s="67">
        <f>I18*'Kapasitas Produksi'!$E$16</f>
        <v>4348835.7871530596</v>
      </c>
      <c r="J9" s="67">
        <f>J18*'Kapasitas Produksi'!$E$16</f>
        <v>4653254.2922537737</v>
      </c>
      <c r="K9" s="67">
        <f>K18*'Kapasitas Produksi'!$E$16</f>
        <v>4978982.0927115381</v>
      </c>
      <c r="L9" s="67">
        <f>L18*'Kapasitas Produksi'!$E$16</f>
        <v>5327510.839201346</v>
      </c>
      <c r="M9" s="67">
        <f>M18*'Kapasitas Produksi'!$E$16</f>
        <v>5700436.5979454406</v>
      </c>
      <c r="N9" s="67">
        <f>N18*'Kapasitas Produksi'!$E$16</f>
        <v>6099467.159801621</v>
      </c>
      <c r="O9" s="67">
        <f>O18*'Kapasitas Produksi'!$E$16</f>
        <v>6526429.860987735</v>
      </c>
    </row>
    <row r="10" spans="3:15" s="32" customFormat="1" x14ac:dyDescent="0.25">
      <c r="C10" s="24">
        <v>5</v>
      </c>
      <c r="D10" s="40" t="s">
        <v>221</v>
      </c>
      <c r="E10" s="179">
        <f>E19*'Kapasitas Produksi'!G16</f>
        <v>106894360</v>
      </c>
      <c r="F10" s="178">
        <f>F19*'Kapasitas Produksi'!$G$16</f>
        <v>114376965.2</v>
      </c>
      <c r="G10" s="178">
        <f>G19*'Kapasitas Produksi'!$G$16</f>
        <v>122383352.764</v>
      </c>
      <c r="H10" s="178">
        <f>H19*'Kapasitas Produksi'!$G$16</f>
        <v>130950187.45748</v>
      </c>
      <c r="I10" s="178">
        <f>I19*'Kapasitas Produksi'!$G$16</f>
        <v>140116700.5795036</v>
      </c>
      <c r="J10" s="178">
        <f>J19*'Kapasitas Produksi'!$G$16</f>
        <v>149924869.62006885</v>
      </c>
      <c r="K10" s="178">
        <f>K19*'Kapasitas Produksi'!$G$16</f>
        <v>160419610.49347368</v>
      </c>
      <c r="L10" s="178">
        <f>L19*'Kapasitas Produksi'!$G$16</f>
        <v>171648983.22801682</v>
      </c>
      <c r="M10" s="178">
        <f>M19*'Kapasitas Produksi'!$G$16</f>
        <v>183664412.053978</v>
      </c>
      <c r="N10" s="178">
        <f>N19*'Kapasitas Produksi'!$G$16</f>
        <v>196520920.89775646</v>
      </c>
      <c r="O10" s="178">
        <f>O19*'Kapasitas Produksi'!$G$16</f>
        <v>210277385.3605994</v>
      </c>
    </row>
    <row r="11" spans="3:15" s="32" customFormat="1" x14ac:dyDescent="0.25">
      <c r="C11" s="24">
        <v>6</v>
      </c>
      <c r="D11" s="40" t="s">
        <v>222</v>
      </c>
      <c r="E11" s="179">
        <f>E20*'Kapasitas Produksi'!$I$16</f>
        <v>571472.69999999995</v>
      </c>
      <c r="F11" s="179">
        <f>F20*'Kapasitas Produksi'!$I$16</f>
        <v>611475.78899999999</v>
      </c>
      <c r="G11" s="179">
        <f>G20*'Kapasitas Produksi'!$I$16</f>
        <v>654279.09422999993</v>
      </c>
      <c r="H11" s="179">
        <f>H20*'Kapasitas Produksi'!$I$16</f>
        <v>700078.63082610001</v>
      </c>
      <c r="I11" s="179">
        <f>I20*'Kapasitas Produksi'!$I$16</f>
        <v>749084.1349839269</v>
      </c>
      <c r="J11" s="179">
        <f>J20*'Kapasitas Produksi'!$I$16</f>
        <v>801520.02443280187</v>
      </c>
      <c r="K11" s="179">
        <f>K20*'Kapasitas Produksi'!$I$16</f>
        <v>857626.42614309804</v>
      </c>
      <c r="L11" s="179">
        <f>L20*'Kapasitas Produksi'!$I$16</f>
        <v>917660.27597311488</v>
      </c>
      <c r="M11" s="179">
        <f>M20*'Kapasitas Produksi'!$I$16</f>
        <v>981896.49529123306</v>
      </c>
      <c r="N11" s="179">
        <f>N20*'Kapasitas Produksi'!$I$16</f>
        <v>1050629.2499616195</v>
      </c>
      <c r="O11" s="179">
        <f>O20*'Kapasitas Produksi'!$I$16</f>
        <v>1124173.2974589327</v>
      </c>
    </row>
    <row r="12" spans="3:15" s="32" customFormat="1" x14ac:dyDescent="0.25">
      <c r="C12" s="24">
        <v>7</v>
      </c>
      <c r="D12" s="40" t="s">
        <v>157</v>
      </c>
      <c r="E12" s="179">
        <f>'Biaya Lain-lain'!E5*12</f>
        <v>600000</v>
      </c>
      <c r="F12" s="179">
        <f>E12*$E$4+E12</f>
        <v>642000</v>
      </c>
      <c r="G12" s="179">
        <f t="shared" ref="G12:I12" si="9">F12*$E$4+F12</f>
        <v>686940</v>
      </c>
      <c r="H12" s="179">
        <f t="shared" si="9"/>
        <v>735025.8</v>
      </c>
      <c r="I12" s="179">
        <f t="shared" si="9"/>
        <v>786477.60600000003</v>
      </c>
      <c r="J12" s="179">
        <f t="shared" ref="J12" si="10">I12*$E$4+I12</f>
        <v>841531.03842</v>
      </c>
      <c r="K12" s="179">
        <f t="shared" ref="K12" si="11">J12*$E$4+J12</f>
        <v>900438.21110940003</v>
      </c>
      <c r="L12" s="179">
        <f t="shared" ref="L12" si="12">K12*$E$4+K12</f>
        <v>963468.88588705799</v>
      </c>
      <c r="M12" s="179">
        <f t="shared" ref="M12" si="13">L12*$E$4+L12</f>
        <v>1030911.7078991521</v>
      </c>
      <c r="N12" s="179">
        <f t="shared" ref="N12:O12" si="14">M12*$E$4+M12</f>
        <v>1103075.5274520926</v>
      </c>
      <c r="O12" s="179">
        <f t="shared" si="14"/>
        <v>1180290.8143737391</v>
      </c>
    </row>
    <row r="13" spans="3:15" s="32" customFormat="1" x14ac:dyDescent="0.25">
      <c r="C13" s="24">
        <v>8</v>
      </c>
      <c r="D13" s="40" t="s">
        <v>5</v>
      </c>
      <c r="E13" s="179">
        <f>'Rataan Biaya Investasi'!E20</f>
        <v>419722.08</v>
      </c>
      <c r="F13" s="179">
        <f>$E$13</f>
        <v>419722.08</v>
      </c>
      <c r="G13" s="179">
        <f t="shared" ref="G13:O13" si="15">$E$13</f>
        <v>419722.08</v>
      </c>
      <c r="H13" s="179">
        <f t="shared" si="15"/>
        <v>419722.08</v>
      </c>
      <c r="I13" s="179">
        <f t="shared" si="15"/>
        <v>419722.08</v>
      </c>
      <c r="J13" s="179">
        <f t="shared" si="15"/>
        <v>419722.08</v>
      </c>
      <c r="K13" s="179">
        <f t="shared" si="15"/>
        <v>419722.08</v>
      </c>
      <c r="L13" s="179">
        <f t="shared" si="15"/>
        <v>419722.08</v>
      </c>
      <c r="M13" s="179">
        <f t="shared" si="15"/>
        <v>419722.08</v>
      </c>
      <c r="N13" s="179">
        <f t="shared" si="15"/>
        <v>419722.08</v>
      </c>
      <c r="O13" s="179">
        <f t="shared" si="15"/>
        <v>419722.08</v>
      </c>
    </row>
    <row r="14" spans="3:15" x14ac:dyDescent="0.25">
      <c r="C14" s="242" t="s">
        <v>7</v>
      </c>
      <c r="D14" s="244"/>
      <c r="E14" s="84">
        <f t="shared" ref="E14:O14" si="16">SUM(E6:E13)</f>
        <v>135562046.49428573</v>
      </c>
      <c r="F14" s="84">
        <f t="shared" si="16"/>
        <v>145022009.20328575</v>
      </c>
      <c r="G14" s="84">
        <f t="shared" si="16"/>
        <v>155144169.30191574</v>
      </c>
      <c r="H14" s="84">
        <f t="shared" si="16"/>
        <v>165974880.60744983</v>
      </c>
      <c r="I14" s="84">
        <f t="shared" si="16"/>
        <v>177563741.70437133</v>
      </c>
      <c r="J14" s="84">
        <f t="shared" si="16"/>
        <v>189963823.07807729</v>
      </c>
      <c r="K14" s="84">
        <f t="shared" si="16"/>
        <v>203231910.14794275</v>
      </c>
      <c r="L14" s="84">
        <f t="shared" si="16"/>
        <v>217428763.31269869</v>
      </c>
      <c r="M14" s="84">
        <f t="shared" si="16"/>
        <v>232619396.19898763</v>
      </c>
      <c r="N14" s="84">
        <f t="shared" si="16"/>
        <v>248873373.38731673</v>
      </c>
      <c r="O14" s="84">
        <f t="shared" si="16"/>
        <v>266265128.97882891</v>
      </c>
    </row>
    <row r="16" spans="3:15" x14ac:dyDescent="0.25">
      <c r="D16" s="92" t="s">
        <v>159</v>
      </c>
      <c r="E16" s="94">
        <v>7.0000000000000007E-2</v>
      </c>
    </row>
    <row r="17" spans="3:15" x14ac:dyDescent="0.25">
      <c r="C17" s="44" t="s">
        <v>2</v>
      </c>
      <c r="D17" s="44" t="s">
        <v>8</v>
      </c>
      <c r="E17" s="44">
        <v>2020</v>
      </c>
      <c r="F17" s="44">
        <v>2021</v>
      </c>
      <c r="G17" s="44">
        <v>2022</v>
      </c>
      <c r="H17" s="44">
        <v>2023</v>
      </c>
      <c r="I17" s="44">
        <v>2024</v>
      </c>
      <c r="J17" s="55">
        <v>2025</v>
      </c>
      <c r="K17" s="55">
        <v>2026</v>
      </c>
      <c r="L17" s="55">
        <v>2027</v>
      </c>
      <c r="M17" s="55">
        <v>2028</v>
      </c>
      <c r="N17" s="55">
        <v>2029</v>
      </c>
      <c r="O17" s="55">
        <v>2030</v>
      </c>
    </row>
    <row r="18" spans="3:15" x14ac:dyDescent="0.25">
      <c r="C18" s="3">
        <v>1</v>
      </c>
      <c r="D18" s="2" t="s">
        <v>223</v>
      </c>
      <c r="E18" s="90">
        <f>'Biaya bahan baku per unit'!G16</f>
        <v>552951</v>
      </c>
      <c r="F18" s="93">
        <f>E18*$E$16+E18</f>
        <v>591657.57000000007</v>
      </c>
      <c r="G18" s="93">
        <f t="shared" ref="G18:I18" si="17">F18*$E$16+F18</f>
        <v>633073.59990000003</v>
      </c>
      <c r="H18" s="93">
        <f t="shared" si="17"/>
        <v>677388.75189299998</v>
      </c>
      <c r="I18" s="93">
        <f t="shared" si="17"/>
        <v>724805.96452550997</v>
      </c>
      <c r="J18" s="93">
        <f t="shared" ref="J18:J20" si="18">I18*$E$16+I18</f>
        <v>775542.38204229565</v>
      </c>
      <c r="K18" s="93">
        <f t="shared" ref="K18:K20" si="19">J18*$E$16+J18</f>
        <v>829830.34878525638</v>
      </c>
      <c r="L18" s="93">
        <f t="shared" ref="L18:L20" si="20">K18*$E$16+K18</f>
        <v>887918.47320022434</v>
      </c>
      <c r="M18" s="93">
        <f t="shared" ref="M18:M20" si="21">L18*$E$16+L18</f>
        <v>950072.76632424002</v>
      </c>
      <c r="N18" s="93">
        <f t="shared" ref="N18:N20" si="22">M18*$E$16+M18</f>
        <v>1016577.8599669369</v>
      </c>
      <c r="O18" s="93">
        <f t="shared" ref="O18:O20" si="23">N18*$E$16+N18</f>
        <v>1087738.3101646225</v>
      </c>
    </row>
    <row r="19" spans="3:15" x14ac:dyDescent="0.25">
      <c r="C19" s="3">
        <v>2</v>
      </c>
      <c r="D19" s="2" t="s">
        <v>224</v>
      </c>
      <c r="E19" s="90">
        <f>'Biaya bahan baku per unit'!G26</f>
        <v>445393.16666666669</v>
      </c>
      <c r="F19" s="93">
        <f>E19*$E$16+E19</f>
        <v>476570.68833333335</v>
      </c>
      <c r="G19" s="93">
        <f t="shared" ref="G19:I19" si="24">F19*$E$16+F19</f>
        <v>509930.63651666668</v>
      </c>
      <c r="H19" s="93">
        <f t="shared" si="24"/>
        <v>545625.78107283334</v>
      </c>
      <c r="I19" s="93">
        <f t="shared" si="24"/>
        <v>583819.58574793162</v>
      </c>
      <c r="J19" s="93">
        <f t="shared" si="18"/>
        <v>624686.95675028686</v>
      </c>
      <c r="K19" s="93">
        <f t="shared" si="19"/>
        <v>668415.04372280696</v>
      </c>
      <c r="L19" s="93">
        <f t="shared" si="20"/>
        <v>715204.09678340342</v>
      </c>
      <c r="M19" s="93">
        <f t="shared" si="21"/>
        <v>765268.38355824165</v>
      </c>
      <c r="N19" s="93">
        <f t="shared" si="22"/>
        <v>818837.17040731851</v>
      </c>
      <c r="O19" s="93">
        <f t="shared" si="23"/>
        <v>876155.77233583084</v>
      </c>
    </row>
    <row r="20" spans="3:15" x14ac:dyDescent="0.25">
      <c r="C20" s="3">
        <v>3</v>
      </c>
      <c r="D20" s="2" t="s">
        <v>228</v>
      </c>
      <c r="E20" s="90">
        <f>'Biaya bahan baku per unit'!G37</f>
        <v>95245.45</v>
      </c>
      <c r="F20" s="93">
        <f>E20*$E$16+E20</f>
        <v>101912.6315</v>
      </c>
      <c r="G20" s="93">
        <f t="shared" ref="G20:I20" si="25">F20*$E$16+F20</f>
        <v>109046.515705</v>
      </c>
      <c r="H20" s="93">
        <f t="shared" si="25"/>
        <v>116679.77180434999</v>
      </c>
      <c r="I20" s="93">
        <f t="shared" si="25"/>
        <v>124847.35583065449</v>
      </c>
      <c r="J20" s="93">
        <f t="shared" si="18"/>
        <v>133586.67073880031</v>
      </c>
      <c r="K20" s="93">
        <f t="shared" si="19"/>
        <v>142937.73769051634</v>
      </c>
      <c r="L20" s="93">
        <f t="shared" si="20"/>
        <v>152943.37932885249</v>
      </c>
      <c r="M20" s="93">
        <f t="shared" si="21"/>
        <v>163649.41588187218</v>
      </c>
      <c r="N20" s="93">
        <f t="shared" si="22"/>
        <v>175104.87499360324</v>
      </c>
      <c r="O20" s="93">
        <f t="shared" si="23"/>
        <v>187362.21624315548</v>
      </c>
    </row>
    <row r="22" spans="3:15" x14ac:dyDescent="0.25">
      <c r="E22" s="1" t="s">
        <v>346</v>
      </c>
    </row>
    <row r="23" spans="3:15" x14ac:dyDescent="0.25">
      <c r="D23" s="1"/>
    </row>
    <row r="24" spans="3:15" ht="15" customHeight="1" x14ac:dyDescent="0.25">
      <c r="C24" s="155">
        <v>1</v>
      </c>
      <c r="D24" s="156" t="s">
        <v>345</v>
      </c>
      <c r="E24" s="98"/>
      <c r="F24" s="98"/>
      <c r="G24" s="98"/>
      <c r="H24" s="98"/>
    </row>
    <row r="25" spans="3:15" x14ac:dyDescent="0.25">
      <c r="D25" s="127"/>
      <c r="E25" s="153"/>
      <c r="F25" s="104">
        <f>E6+E9+E12+E13</f>
        <v>6637428.0800000001</v>
      </c>
      <c r="G25" s="104"/>
      <c r="J25" s="104"/>
    </row>
    <row r="26" spans="3:15" x14ac:dyDescent="0.25">
      <c r="C26" s="157">
        <v>2</v>
      </c>
      <c r="D26" s="1" t="s">
        <v>229</v>
      </c>
    </row>
    <row r="27" spans="3:15" x14ac:dyDescent="0.25">
      <c r="F27" s="104">
        <f>E7+E10+E12+E13</f>
        <v>129308367.79428571</v>
      </c>
      <c r="G27" s="104"/>
    </row>
    <row r="28" spans="3:15" x14ac:dyDescent="0.25">
      <c r="C28" s="157">
        <v>3</v>
      </c>
      <c r="D28" s="1" t="s">
        <v>230</v>
      </c>
    </row>
    <row r="29" spans="3:15" x14ac:dyDescent="0.25">
      <c r="F29" s="104">
        <f>E8+E11+E12+E13</f>
        <v>1655694.78</v>
      </c>
      <c r="G29" s="104"/>
    </row>
  </sheetData>
  <mergeCells count="1">
    <mergeCell ref="C14:D14"/>
  </mergeCells>
  <pageMargins left="0.7" right="0.7" top="0.75" bottom="0.75" header="0.3" footer="0.3"/>
  <pageSetup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4"/>
  <sheetViews>
    <sheetView showGridLines="0" topLeftCell="A9" workbookViewId="0">
      <selection activeCell="G15" sqref="G15"/>
    </sheetView>
  </sheetViews>
  <sheetFormatPr defaultRowHeight="15" x14ac:dyDescent="0.25"/>
  <cols>
    <col min="3" max="3" width="60.140625" customWidth="1"/>
    <col min="4" max="4" width="18.7109375" customWidth="1"/>
    <col min="5" max="5" width="8.28515625" customWidth="1"/>
    <col min="6" max="6" width="17.7109375" bestFit="1" customWidth="1"/>
    <col min="7" max="7" width="15" bestFit="1" customWidth="1"/>
  </cols>
  <sheetData>
    <row r="2" spans="3:5" x14ac:dyDescent="0.25">
      <c r="C2" s="1" t="s">
        <v>231</v>
      </c>
    </row>
    <row r="4" spans="3:5" ht="23.25" customHeight="1" x14ac:dyDescent="0.25">
      <c r="C4" s="273" t="s">
        <v>177</v>
      </c>
      <c r="D4" s="274"/>
      <c r="E4" s="270"/>
    </row>
    <row r="5" spans="3:5" x14ac:dyDescent="0.25">
      <c r="C5" s="275" t="s">
        <v>178</v>
      </c>
      <c r="D5" s="276"/>
      <c r="E5" s="277"/>
    </row>
    <row r="6" spans="3:5" x14ac:dyDescent="0.25">
      <c r="C6" s="2" t="s">
        <v>232</v>
      </c>
      <c r="D6" s="261">
        <f>'Rataan Biaya Produksi'!E9</f>
        <v>3317706</v>
      </c>
      <c r="E6" s="262"/>
    </row>
    <row r="7" spans="3:5" x14ac:dyDescent="0.25">
      <c r="C7" s="2" t="s">
        <v>233</v>
      </c>
      <c r="D7" s="278">
        <f>'Rataan Biaya Produksi'!E10</f>
        <v>106894360</v>
      </c>
      <c r="E7" s="279"/>
    </row>
    <row r="8" spans="3:5" x14ac:dyDescent="0.25">
      <c r="C8" s="2" t="s">
        <v>234</v>
      </c>
      <c r="D8" s="280">
        <f>'Rataan Biaya Produksi'!E11</f>
        <v>571472.69999999995</v>
      </c>
      <c r="E8" s="281"/>
    </row>
    <row r="9" spans="3:5" x14ac:dyDescent="0.25">
      <c r="C9" s="108" t="s">
        <v>179</v>
      </c>
      <c r="D9" s="259">
        <f>SUM(D6:E8)</f>
        <v>110783538.7</v>
      </c>
      <c r="E9" s="260"/>
    </row>
    <row r="10" spans="3:5" x14ac:dyDescent="0.25">
      <c r="C10" s="107" t="s">
        <v>180</v>
      </c>
      <c r="D10" s="261"/>
      <c r="E10" s="262"/>
    </row>
    <row r="11" spans="3:5" x14ac:dyDescent="0.25">
      <c r="C11" s="158" t="s">
        <v>179</v>
      </c>
      <c r="D11" s="259">
        <f>SUM(D9)</f>
        <v>110783538.7</v>
      </c>
      <c r="E11" s="260"/>
    </row>
    <row r="12" spans="3:5" x14ac:dyDescent="0.25">
      <c r="C12" s="2" t="s">
        <v>235</v>
      </c>
      <c r="D12" s="280">
        <f>'Rataan Biaya Produksi'!E6</f>
        <v>2300000</v>
      </c>
      <c r="E12" s="282"/>
    </row>
    <row r="13" spans="3:5" x14ac:dyDescent="0.25">
      <c r="C13" s="2" t="s">
        <v>236</v>
      </c>
      <c r="D13" s="280">
        <f>'Rataan Biaya Produksi'!E7</f>
        <v>21394285.714285716</v>
      </c>
      <c r="E13" s="281"/>
    </row>
    <row r="14" spans="3:5" x14ac:dyDescent="0.25">
      <c r="C14" s="2" t="s">
        <v>237</v>
      </c>
      <c r="D14" s="280">
        <f>'Rataan Biaya Produksi'!E8</f>
        <v>64500</v>
      </c>
      <c r="E14" s="281"/>
    </row>
    <row r="15" spans="3:5" x14ac:dyDescent="0.25">
      <c r="C15" s="159" t="s">
        <v>238</v>
      </c>
      <c r="D15" s="271">
        <f>SUM(D12:E14)</f>
        <v>23758785.714285716</v>
      </c>
      <c r="E15" s="272"/>
    </row>
    <row r="16" spans="3:5" x14ac:dyDescent="0.25">
      <c r="C16" s="108" t="s">
        <v>181</v>
      </c>
      <c r="D16" s="259">
        <f>D11+D15</f>
        <v>134542324.41428572</v>
      </c>
      <c r="E16" s="260"/>
    </row>
    <row r="17" spans="2:7" x14ac:dyDescent="0.25">
      <c r="C17" s="107" t="s">
        <v>182</v>
      </c>
      <c r="D17" s="261"/>
      <c r="E17" s="262"/>
    </row>
    <row r="18" spans="2:7" x14ac:dyDescent="0.25">
      <c r="C18" s="2" t="s">
        <v>138</v>
      </c>
      <c r="D18" s="263">
        <f>'Rataan Biaya Produksi'!E12</f>
        <v>600000</v>
      </c>
      <c r="E18" s="264"/>
      <c r="F18" s="104"/>
    </row>
    <row r="19" spans="2:7" x14ac:dyDescent="0.25">
      <c r="C19" s="2" t="s">
        <v>183</v>
      </c>
      <c r="D19" s="265">
        <f>'Rataan Biaya Produksi'!E13</f>
        <v>419722.08</v>
      </c>
      <c r="E19" s="266"/>
      <c r="G19" s="104"/>
    </row>
    <row r="20" spans="2:7" x14ac:dyDescent="0.25">
      <c r="C20" s="109" t="s">
        <v>184</v>
      </c>
      <c r="D20" s="267">
        <f>SUM(D18:E19)</f>
        <v>1019722.0800000001</v>
      </c>
      <c r="E20" s="268"/>
      <c r="G20" s="104"/>
    </row>
    <row r="21" spans="2:7" x14ac:dyDescent="0.25">
      <c r="C21" s="161" t="s">
        <v>239</v>
      </c>
      <c r="D21" s="269">
        <f>D6+D12+D20</f>
        <v>6637428.0800000001</v>
      </c>
      <c r="E21" s="270"/>
      <c r="G21" s="104"/>
    </row>
    <row r="22" spans="2:7" x14ac:dyDescent="0.25">
      <c r="C22" s="161" t="s">
        <v>240</v>
      </c>
      <c r="D22" s="255">
        <f>D7+D13+D20</f>
        <v>129308367.79428571</v>
      </c>
      <c r="E22" s="256"/>
      <c r="F22" s="104"/>
      <c r="G22" s="104"/>
    </row>
    <row r="23" spans="2:7" x14ac:dyDescent="0.25">
      <c r="C23" s="161" t="s">
        <v>241</v>
      </c>
      <c r="D23" s="255">
        <f>D8+D14+D20</f>
        <v>1655694.78</v>
      </c>
      <c r="E23" s="256"/>
      <c r="F23" s="104"/>
    </row>
    <row r="24" spans="2:7" x14ac:dyDescent="0.25">
      <c r="C24" s="120" t="s">
        <v>242</v>
      </c>
      <c r="D24" s="257">
        <f>SUM(D21:E23)</f>
        <v>137601490.65428573</v>
      </c>
      <c r="E24" s="258"/>
      <c r="F24" s="104"/>
    </row>
    <row r="25" spans="2:7" x14ac:dyDescent="0.25">
      <c r="B25" s="5"/>
      <c r="C25" s="163"/>
      <c r="D25" s="162"/>
      <c r="E25" s="122"/>
    </row>
    <row r="26" spans="2:7" x14ac:dyDescent="0.25">
      <c r="C26" s="164" t="s">
        <v>256</v>
      </c>
      <c r="D26" s="253">
        <f>D21</f>
        <v>6637428.0800000001</v>
      </c>
      <c r="E26" s="254"/>
    </row>
    <row r="27" spans="2:7" x14ac:dyDescent="0.25">
      <c r="C27" s="125" t="s">
        <v>253</v>
      </c>
      <c r="D27" s="245">
        <f>D26</f>
        <v>6637428.0800000001</v>
      </c>
      <c r="E27" s="246"/>
      <c r="G27" s="104"/>
    </row>
    <row r="28" spans="2:7" x14ac:dyDescent="0.25">
      <c r="C28" s="139" t="s">
        <v>185</v>
      </c>
      <c r="D28" s="247">
        <f>D27</f>
        <v>6637428.0800000001</v>
      </c>
      <c r="E28" s="248"/>
      <c r="G28" s="104"/>
    </row>
    <row r="29" spans="2:7" x14ac:dyDescent="0.25">
      <c r="C29" s="139" t="s">
        <v>254</v>
      </c>
      <c r="D29" s="249">
        <f>D28</f>
        <v>6637428.0800000001</v>
      </c>
      <c r="E29" s="250"/>
      <c r="G29" s="104"/>
    </row>
    <row r="30" spans="2:7" x14ac:dyDescent="0.25">
      <c r="C30" s="140" t="s">
        <v>255</v>
      </c>
      <c r="D30" s="140">
        <f>'Kapasitas Produksi'!E16</f>
        <v>6</v>
      </c>
      <c r="E30" s="160" t="s">
        <v>196</v>
      </c>
      <c r="G30" s="104"/>
    </row>
    <row r="31" spans="2:7" x14ac:dyDescent="0.25">
      <c r="C31" s="139" t="s">
        <v>326</v>
      </c>
      <c r="D31" s="251">
        <f>D29/D30</f>
        <v>1106238.0133333334</v>
      </c>
      <c r="E31" s="252"/>
    </row>
    <row r="33" spans="3:7" x14ac:dyDescent="0.25">
      <c r="C33" s="164" t="s">
        <v>257</v>
      </c>
      <c r="D33" s="253">
        <f>D22</f>
        <v>129308367.79428571</v>
      </c>
      <c r="E33" s="254"/>
    </row>
    <row r="34" spans="3:7" x14ac:dyDescent="0.25">
      <c r="C34" s="125" t="s">
        <v>258</v>
      </c>
      <c r="D34" s="245">
        <f>D33</f>
        <v>129308367.79428571</v>
      </c>
      <c r="E34" s="246"/>
    </row>
    <row r="35" spans="3:7" x14ac:dyDescent="0.25">
      <c r="C35" s="139" t="s">
        <v>185</v>
      </c>
      <c r="D35" s="247">
        <f>D34</f>
        <v>129308367.79428571</v>
      </c>
      <c r="E35" s="248"/>
      <c r="G35" s="104"/>
    </row>
    <row r="36" spans="3:7" x14ac:dyDescent="0.25">
      <c r="C36" s="139" t="s">
        <v>259</v>
      </c>
      <c r="D36" s="249">
        <f>D35</f>
        <v>129308367.79428571</v>
      </c>
      <c r="E36" s="250"/>
    </row>
    <row r="37" spans="3:7" x14ac:dyDescent="0.25">
      <c r="C37" s="140" t="s">
        <v>260</v>
      </c>
      <c r="D37" s="206">
        <f>'Kapasitas Produksi'!G16</f>
        <v>240</v>
      </c>
      <c r="E37" s="160" t="s">
        <v>196</v>
      </c>
    </row>
    <row r="38" spans="3:7" x14ac:dyDescent="0.25">
      <c r="C38" s="139" t="s">
        <v>327</v>
      </c>
      <c r="D38" s="251">
        <f>D36/D37</f>
        <v>538784.86580952385</v>
      </c>
      <c r="E38" s="252"/>
      <c r="F38" s="104"/>
    </row>
    <row r="40" spans="3:7" x14ac:dyDescent="0.25">
      <c r="C40" s="164" t="s">
        <v>261</v>
      </c>
      <c r="D40" s="253">
        <f>D23</f>
        <v>1655694.78</v>
      </c>
      <c r="E40" s="254"/>
    </row>
    <row r="41" spans="3:7" x14ac:dyDescent="0.25">
      <c r="C41" s="125" t="s">
        <v>262</v>
      </c>
      <c r="D41" s="245">
        <f>D40</f>
        <v>1655694.78</v>
      </c>
      <c r="E41" s="246"/>
    </row>
    <row r="42" spans="3:7" x14ac:dyDescent="0.25">
      <c r="C42" s="139" t="s">
        <v>185</v>
      </c>
      <c r="D42" s="247">
        <f>D41</f>
        <v>1655694.78</v>
      </c>
      <c r="E42" s="248"/>
      <c r="G42" s="104"/>
    </row>
    <row r="43" spans="3:7" x14ac:dyDescent="0.25">
      <c r="C43" s="139" t="s">
        <v>263</v>
      </c>
      <c r="D43" s="249">
        <f>D42</f>
        <v>1655694.78</v>
      </c>
      <c r="E43" s="250"/>
    </row>
    <row r="44" spans="3:7" x14ac:dyDescent="0.25">
      <c r="C44" s="140" t="s">
        <v>264</v>
      </c>
      <c r="D44" s="140">
        <f>'Kapasitas Produksi'!I16</f>
        <v>6</v>
      </c>
      <c r="E44" s="160" t="s">
        <v>196</v>
      </c>
    </row>
    <row r="45" spans="3:7" x14ac:dyDescent="0.25">
      <c r="C45" s="139" t="s">
        <v>328</v>
      </c>
      <c r="D45" s="251">
        <f>D43/D44</f>
        <v>275949.13</v>
      </c>
      <c r="E45" s="252"/>
    </row>
    <row r="47" spans="3:7" x14ac:dyDescent="0.25">
      <c r="C47" s="167" t="s">
        <v>265</v>
      </c>
    </row>
    <row r="48" spans="3:7" x14ac:dyDescent="0.25">
      <c r="C48" t="s">
        <v>266</v>
      </c>
    </row>
    <row r="49" spans="3:4" x14ac:dyDescent="0.25">
      <c r="C49" t="s">
        <v>267</v>
      </c>
    </row>
    <row r="50" spans="3:4" x14ac:dyDescent="0.25">
      <c r="C50" t="s">
        <v>268</v>
      </c>
    </row>
    <row r="52" spans="3:4" x14ac:dyDescent="0.25">
      <c r="C52" s="44" t="s">
        <v>269</v>
      </c>
      <c r="D52" s="44" t="s">
        <v>270</v>
      </c>
    </row>
    <row r="53" spans="3:4" x14ac:dyDescent="0.25">
      <c r="C53" s="2" t="s">
        <v>80</v>
      </c>
      <c r="D53" s="39">
        <v>1500000</v>
      </c>
    </row>
    <row r="54" spans="3:4" x14ac:dyDescent="0.25">
      <c r="C54" s="2" t="s">
        <v>124</v>
      </c>
      <c r="D54" s="39">
        <v>550000</v>
      </c>
    </row>
    <row r="55" spans="3:4" x14ac:dyDescent="0.25">
      <c r="C55" s="2" t="s">
        <v>101</v>
      </c>
      <c r="D55" s="39">
        <v>500000</v>
      </c>
    </row>
    <row r="57" spans="3:4" x14ac:dyDescent="0.25">
      <c r="C57" t="s">
        <v>271</v>
      </c>
    </row>
    <row r="58" spans="3:4" x14ac:dyDescent="0.25">
      <c r="C58" t="s">
        <v>272</v>
      </c>
    </row>
    <row r="59" spans="3:4" x14ac:dyDescent="0.25">
      <c r="C59" t="s">
        <v>273</v>
      </c>
    </row>
    <row r="61" spans="3:4" x14ac:dyDescent="0.25">
      <c r="C61" t="s">
        <v>274</v>
      </c>
    </row>
    <row r="62" spans="3:4" x14ac:dyDescent="0.25">
      <c r="C62" t="s">
        <v>275</v>
      </c>
    </row>
    <row r="63" spans="3:4" x14ac:dyDescent="0.25">
      <c r="C63" t="s">
        <v>283</v>
      </c>
    </row>
    <row r="64" spans="3:4" x14ac:dyDescent="0.25">
      <c r="C64" t="s">
        <v>276</v>
      </c>
    </row>
  </sheetData>
  <mergeCells count="36">
    <mergeCell ref="D15:E15"/>
    <mergeCell ref="C4:E4"/>
    <mergeCell ref="C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31:E31"/>
    <mergeCell ref="D23:E23"/>
    <mergeCell ref="D24:E24"/>
    <mergeCell ref="D16:E16"/>
    <mergeCell ref="D17:E17"/>
    <mergeCell ref="D18:E18"/>
    <mergeCell ref="D19:E19"/>
    <mergeCell ref="D20:E20"/>
    <mergeCell ref="D21:E21"/>
    <mergeCell ref="D22:E22"/>
    <mergeCell ref="D26:E26"/>
    <mergeCell ref="D27:E27"/>
    <mergeCell ref="D28:E28"/>
    <mergeCell ref="D29:E29"/>
    <mergeCell ref="D41:E41"/>
    <mergeCell ref="D42:E42"/>
    <mergeCell ref="D43:E43"/>
    <mergeCell ref="D45:E45"/>
    <mergeCell ref="D33:E33"/>
    <mergeCell ref="D34:E34"/>
    <mergeCell ref="D35:E35"/>
    <mergeCell ref="D36:E36"/>
    <mergeCell ref="D38:E38"/>
    <mergeCell ref="D40:E4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4"/>
  <sheetViews>
    <sheetView showGridLines="0" workbookViewId="0">
      <selection activeCell="E15" sqref="E15"/>
    </sheetView>
  </sheetViews>
  <sheetFormatPr defaultRowHeight="15" x14ac:dyDescent="0.25"/>
  <cols>
    <col min="3" max="3" width="41.28515625" customWidth="1"/>
    <col min="4" max="8" width="17.7109375" customWidth="1"/>
    <col min="9" max="13" width="17.85546875" customWidth="1"/>
    <col min="14" max="14" width="18.28515625" customWidth="1"/>
  </cols>
  <sheetData>
    <row r="2" spans="3:14" x14ac:dyDescent="0.25">
      <c r="C2" s="1" t="s">
        <v>243</v>
      </c>
    </row>
    <row r="4" spans="3:14" x14ac:dyDescent="0.25">
      <c r="C4" s="118" t="s">
        <v>186</v>
      </c>
      <c r="D4" s="118">
        <v>2020</v>
      </c>
      <c r="E4" s="118">
        <v>2021</v>
      </c>
      <c r="F4" s="123">
        <v>2022</v>
      </c>
      <c r="G4" s="118">
        <v>2023</v>
      </c>
      <c r="H4" s="118">
        <v>2024</v>
      </c>
      <c r="I4" s="55">
        <v>2025</v>
      </c>
      <c r="J4" s="55">
        <v>2026</v>
      </c>
      <c r="K4" s="55">
        <v>2027</v>
      </c>
      <c r="L4" s="55">
        <v>2028</v>
      </c>
      <c r="M4" s="55">
        <v>2029</v>
      </c>
      <c r="N4" s="55">
        <v>2030</v>
      </c>
    </row>
    <row r="5" spans="3:14" x14ac:dyDescent="0.25">
      <c r="C5" s="115" t="s">
        <v>187</v>
      </c>
      <c r="D5" s="113"/>
      <c r="E5" s="113"/>
      <c r="F5" s="124"/>
      <c r="G5" s="3"/>
      <c r="H5" s="3"/>
      <c r="I5" s="2"/>
      <c r="J5" s="2"/>
      <c r="K5" s="2"/>
      <c r="L5" s="2"/>
      <c r="M5" s="2"/>
      <c r="N5" s="2"/>
    </row>
    <row r="6" spans="3:14" x14ac:dyDescent="0.25">
      <c r="C6" s="3" t="s">
        <v>244</v>
      </c>
      <c r="D6" s="165">
        <f>D17*'Kapasitas Produksi'!$E$16</f>
        <v>9000000</v>
      </c>
      <c r="E6" s="165">
        <f>E17*'Kapasitas Produksi'!$E$16</f>
        <v>9630000</v>
      </c>
      <c r="F6" s="165">
        <f>F17*'Kapasitas Produksi'!$E$16</f>
        <v>10304100</v>
      </c>
      <c r="G6" s="165">
        <f>G17*'Kapasitas Produksi'!$E$16</f>
        <v>11025387</v>
      </c>
      <c r="H6" s="165">
        <f>H17*'Kapasitas Produksi'!$E$16</f>
        <v>11797164.09</v>
      </c>
      <c r="I6" s="165">
        <f>I17*'Kapasitas Produksi'!$E$16</f>
        <v>12622965.576300003</v>
      </c>
      <c r="J6" s="165">
        <f>J17*'Kapasitas Produksi'!$E$16</f>
        <v>13506573.166641003</v>
      </c>
      <c r="K6" s="165">
        <f>K17*'Kapasitas Produksi'!$E$16</f>
        <v>14452033.288305875</v>
      </c>
      <c r="L6" s="165">
        <f>L17*'Kapasitas Produksi'!$E$16</f>
        <v>15463675.618487284</v>
      </c>
      <c r="M6" s="165">
        <f>M17*'Kapasitas Produksi'!$E$16</f>
        <v>16546132.911781395</v>
      </c>
      <c r="N6" s="165">
        <f>N17*'Kapasitas Produksi'!$E$16</f>
        <v>17704362.215606093</v>
      </c>
    </row>
    <row r="7" spans="3:14" x14ac:dyDescent="0.25">
      <c r="C7" s="115" t="s">
        <v>188</v>
      </c>
      <c r="D7" s="113"/>
      <c r="E7" s="113"/>
      <c r="F7" s="124"/>
      <c r="G7" s="3"/>
      <c r="H7" s="3"/>
      <c r="I7" s="2"/>
      <c r="J7" s="2"/>
      <c r="K7" s="2"/>
      <c r="L7" s="2"/>
      <c r="M7" s="2"/>
      <c r="N7" s="2"/>
    </row>
    <row r="8" spans="3:14" x14ac:dyDescent="0.25">
      <c r="C8" s="3" t="s">
        <v>247</v>
      </c>
      <c r="D8" s="116">
        <f>HPP!D21</f>
        <v>6637428.0800000001</v>
      </c>
      <c r="E8" s="116">
        <f>'Rataan Biaya Produksi'!F6+'Rataan Biaya Produksi'!F9+'Rataan Biaya Produksi'!F12+'Rataan Biaya Produksi'!F13</f>
        <v>7072667.5</v>
      </c>
      <c r="F8" s="116">
        <f>'Rataan Biaya Produksi'!G6+'Rataan Biaya Produksi'!G9+'Rataan Biaya Produksi'!G12+'Rataan Biaya Produksi'!G13</f>
        <v>7538373.6794000007</v>
      </c>
      <c r="G8" s="116">
        <f>'Rataan Biaya Produksi'!H6+'Rataan Biaya Produksi'!H9+'Rataan Biaya Produksi'!H12+'Rataan Biaya Produksi'!H13</f>
        <v>8036679.2913579997</v>
      </c>
      <c r="H8" s="116">
        <f>'Rataan Biaya Produksi'!I6+'Rataan Biaya Produksi'!I9+'Rataan Biaya Produksi'!I12+'Rataan Biaya Produksi'!I13</f>
        <v>8569866.2961530592</v>
      </c>
      <c r="I8" s="116">
        <f>'Rataan Biaya Produksi'!J6+'Rataan Biaya Produksi'!J9+'Rataan Biaya Produksi'!J12+'Rataan Biaya Produksi'!J13</f>
        <v>9140376.3912837729</v>
      </c>
      <c r="J8" s="116">
        <f>'Rataan Biaya Produksi'!K6+'Rataan Biaya Produksi'!K9+'Rataan Biaya Produksi'!K12+'Rataan Biaya Produksi'!K13</f>
        <v>9750822.1930736378</v>
      </c>
      <c r="K8" s="116">
        <f>'Rataan Biaya Produksi'!L6+'Rataan Biaya Produksi'!L9+'Rataan Biaya Produksi'!L12+'Rataan Biaya Produksi'!L13</f>
        <v>10403999.200988794</v>
      </c>
      <c r="L8" s="116">
        <f>'Rataan Biaya Produksi'!M6+'Rataan Biaya Produksi'!M9+'Rataan Biaya Produksi'!M12+'Rataan Biaya Produksi'!M13</f>
        <v>11102898.599458009</v>
      </c>
      <c r="M8" s="116">
        <f>'Rataan Biaya Produksi'!N6+'Rataan Biaya Produksi'!N9+'Rataan Biaya Produksi'!N12+'Rataan Biaya Produksi'!N13</f>
        <v>11850720.955820069</v>
      </c>
      <c r="N8" s="116">
        <f>'Rataan Biaya Produksi'!O6+'Rataan Biaya Produksi'!O9+'Rataan Biaya Produksi'!O12+'Rataan Biaya Produksi'!O13</f>
        <v>12650890.877127474</v>
      </c>
    </row>
    <row r="9" spans="3:14" x14ac:dyDescent="0.25">
      <c r="C9" s="115" t="s">
        <v>189</v>
      </c>
      <c r="D9" s="116">
        <f>D6-D8</f>
        <v>2362571.92</v>
      </c>
      <c r="E9" s="116">
        <f t="shared" ref="E9:N9" si="0">E6-E8</f>
        <v>2557332.5</v>
      </c>
      <c r="F9" s="116">
        <f t="shared" si="0"/>
        <v>2765726.3205999993</v>
      </c>
      <c r="G9" s="116">
        <f t="shared" si="0"/>
        <v>2988707.7086420003</v>
      </c>
      <c r="H9" s="116">
        <f t="shared" si="0"/>
        <v>3227297.7938469406</v>
      </c>
      <c r="I9" s="116">
        <f t="shared" si="0"/>
        <v>3482589.1850162297</v>
      </c>
      <c r="J9" s="116">
        <f t="shared" si="0"/>
        <v>3755750.9735673647</v>
      </c>
      <c r="K9" s="116">
        <f t="shared" si="0"/>
        <v>4048034.0873170812</v>
      </c>
      <c r="L9" s="116">
        <f t="shared" si="0"/>
        <v>4360777.0190292746</v>
      </c>
      <c r="M9" s="116">
        <f t="shared" si="0"/>
        <v>4695411.9559613261</v>
      </c>
      <c r="N9" s="116">
        <f t="shared" si="0"/>
        <v>5053471.3384786192</v>
      </c>
    </row>
    <row r="10" spans="3:14" x14ac:dyDescent="0.25">
      <c r="C10" s="115" t="s">
        <v>192</v>
      </c>
      <c r="D10" s="116">
        <f>D9*0.5%</f>
        <v>11812.8596</v>
      </c>
      <c r="E10" s="116">
        <f t="shared" ref="E10:N10" si="1">E9*0.5%</f>
        <v>12786.6625</v>
      </c>
      <c r="F10" s="116">
        <f t="shared" si="1"/>
        <v>13828.631602999996</v>
      </c>
      <c r="G10" s="116">
        <f t="shared" si="1"/>
        <v>14943.538543210001</v>
      </c>
      <c r="H10" s="116">
        <f t="shared" si="1"/>
        <v>16136.488969234704</v>
      </c>
      <c r="I10" s="116">
        <f t="shared" si="1"/>
        <v>17412.945925081149</v>
      </c>
      <c r="J10" s="116">
        <f t="shared" si="1"/>
        <v>18778.754867836826</v>
      </c>
      <c r="K10" s="116">
        <f t="shared" si="1"/>
        <v>20240.170436585406</v>
      </c>
      <c r="L10" s="116">
        <f t="shared" si="1"/>
        <v>21803.885095146372</v>
      </c>
      <c r="M10" s="116">
        <f t="shared" si="1"/>
        <v>23477.05977980663</v>
      </c>
      <c r="N10" s="116">
        <f t="shared" si="1"/>
        <v>25267.356692393096</v>
      </c>
    </row>
    <row r="11" spans="3:14" x14ac:dyDescent="0.25">
      <c r="C11" s="115" t="s">
        <v>245</v>
      </c>
      <c r="D11" s="117">
        <f>ROUNDDOWN(D9-D10,0)</f>
        <v>2350759</v>
      </c>
      <c r="E11" s="117">
        <f t="shared" ref="E11:N11" si="2">E9-E10</f>
        <v>2544545.8374999999</v>
      </c>
      <c r="F11" s="117">
        <f t="shared" si="2"/>
        <v>2751897.6889969991</v>
      </c>
      <c r="G11" s="117">
        <f t="shared" si="2"/>
        <v>2973764.1700987904</v>
      </c>
      <c r="H11" s="117">
        <f t="shared" si="2"/>
        <v>3211161.3048777059</v>
      </c>
      <c r="I11" s="117">
        <f t="shared" si="2"/>
        <v>3465176.2390911486</v>
      </c>
      <c r="J11" s="117">
        <f t="shared" si="2"/>
        <v>3736972.2186995279</v>
      </c>
      <c r="K11" s="117">
        <f t="shared" si="2"/>
        <v>4027793.9168804958</v>
      </c>
      <c r="L11" s="117">
        <f t="shared" si="2"/>
        <v>4338973.1339341281</v>
      </c>
      <c r="M11" s="117">
        <f t="shared" si="2"/>
        <v>4671934.8961815191</v>
      </c>
      <c r="N11" s="117">
        <f t="shared" si="2"/>
        <v>5028203.9817862259</v>
      </c>
    </row>
    <row r="12" spans="3:14" x14ac:dyDescent="0.25">
      <c r="C12" s="114"/>
      <c r="D12" s="166"/>
      <c r="E12" s="166"/>
      <c r="F12" s="114"/>
      <c r="G12" s="102"/>
      <c r="H12" s="102"/>
    </row>
    <row r="14" spans="3:14" x14ac:dyDescent="0.25">
      <c r="C14" s="111" t="s">
        <v>191</v>
      </c>
      <c r="D14" s="97">
        <v>7.0000000000000007E-2</v>
      </c>
    </row>
    <row r="15" spans="3:14" x14ac:dyDescent="0.25">
      <c r="C15" s="111"/>
      <c r="D15" s="97"/>
    </row>
    <row r="16" spans="3:14" x14ac:dyDescent="0.25">
      <c r="C16" s="118" t="s">
        <v>8</v>
      </c>
      <c r="D16" s="118">
        <v>2020</v>
      </c>
      <c r="E16" s="118">
        <v>2021</v>
      </c>
      <c r="F16" s="123">
        <v>2022</v>
      </c>
      <c r="G16" s="118">
        <v>2023</v>
      </c>
      <c r="H16" s="118">
        <v>2024</v>
      </c>
      <c r="I16" s="55">
        <v>2025</v>
      </c>
      <c r="J16" s="55">
        <v>2026</v>
      </c>
      <c r="K16" s="55">
        <v>2027</v>
      </c>
      <c r="L16" s="55">
        <v>2028</v>
      </c>
      <c r="M16" s="55">
        <v>2029</v>
      </c>
      <c r="N16" s="55">
        <v>2030</v>
      </c>
    </row>
    <row r="17" spans="3:14" x14ac:dyDescent="0.25">
      <c r="C17" s="161" t="s">
        <v>190</v>
      </c>
      <c r="D17" s="90">
        <v>1500000</v>
      </c>
      <c r="E17" s="90">
        <f>D17*$D$14+D17</f>
        <v>1605000</v>
      </c>
      <c r="F17" s="90">
        <f t="shared" ref="F17:H17" si="3">E17*$D$14+E17</f>
        <v>1717350</v>
      </c>
      <c r="G17" s="90">
        <f t="shared" si="3"/>
        <v>1837564.5</v>
      </c>
      <c r="H17" s="90">
        <f t="shared" si="3"/>
        <v>1966194.0150000001</v>
      </c>
      <c r="I17" s="90">
        <f t="shared" ref="I17" si="4">H17*$D$14+H17</f>
        <v>2103827.5960500003</v>
      </c>
      <c r="J17" s="90">
        <f t="shared" ref="J17" si="5">I17*$D$14+I17</f>
        <v>2251095.5277735004</v>
      </c>
      <c r="K17" s="90">
        <f t="shared" ref="K17" si="6">J17*$D$14+J17</f>
        <v>2408672.2147176457</v>
      </c>
      <c r="L17" s="90">
        <f t="shared" ref="L17" si="7">K17*$D$14+K17</f>
        <v>2577279.2697478808</v>
      </c>
      <c r="M17" s="90">
        <f t="shared" ref="M17" si="8">L17*$D$14+L17</f>
        <v>2757688.8186302325</v>
      </c>
      <c r="N17" s="90">
        <f t="shared" ref="N17" si="9">M17*$D$14+M17</f>
        <v>2950727.0359343486</v>
      </c>
    </row>
    <row r="19" spans="3:14" x14ac:dyDescent="0.25">
      <c r="C19" s="152" t="s">
        <v>134</v>
      </c>
    </row>
    <row r="20" spans="3:14" x14ac:dyDescent="0.25">
      <c r="C20" t="s">
        <v>246</v>
      </c>
    </row>
    <row r="21" spans="3:14" x14ac:dyDescent="0.25">
      <c r="C21" t="s">
        <v>284</v>
      </c>
    </row>
    <row r="23" spans="3:14" x14ac:dyDescent="0.25">
      <c r="C23" s="1" t="s">
        <v>336</v>
      </c>
      <c r="G23" s="104"/>
    </row>
    <row r="24" spans="3:14" x14ac:dyDescent="0.25">
      <c r="C24" s="1" t="s">
        <v>337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6"/>
  <sheetViews>
    <sheetView showGridLines="0" workbookViewId="0">
      <selection activeCell="G10" sqref="G10"/>
    </sheetView>
  </sheetViews>
  <sheetFormatPr defaultRowHeight="15" x14ac:dyDescent="0.25"/>
  <cols>
    <col min="4" max="4" width="24.42578125" customWidth="1"/>
    <col min="5" max="5" width="27.42578125" customWidth="1"/>
    <col min="6" max="6" width="31.5703125" customWidth="1"/>
  </cols>
  <sheetData>
    <row r="2" spans="3:6" x14ac:dyDescent="0.25">
      <c r="C2" s="163" t="s">
        <v>248</v>
      </c>
    </row>
    <row r="3" spans="3:6" x14ac:dyDescent="0.25">
      <c r="C3" s="163"/>
    </row>
    <row r="4" spans="3:6" ht="34.5" customHeight="1" x14ac:dyDescent="0.25">
      <c r="C4" s="147" t="s">
        <v>249</v>
      </c>
      <c r="D4" s="147" t="s">
        <v>307</v>
      </c>
      <c r="E4" s="147" t="s">
        <v>250</v>
      </c>
      <c r="F4" s="147" t="s">
        <v>251</v>
      </c>
    </row>
    <row r="5" spans="3:6" x14ac:dyDescent="0.25">
      <c r="C5" s="3">
        <v>2020</v>
      </c>
      <c r="D5" s="81">
        <f>'Rugi Laba Kepala Barongan'!D11</f>
        <v>2350759</v>
      </c>
      <c r="E5" s="81">
        <f>'Rataan Biaya Investasi'!$E$20</f>
        <v>419722.08</v>
      </c>
      <c r="F5" s="81">
        <f>SUM(D5:E5)</f>
        <v>2770481.08</v>
      </c>
    </row>
    <row r="6" spans="3:6" x14ac:dyDescent="0.25">
      <c r="C6" s="3">
        <v>2021</v>
      </c>
      <c r="D6" s="81">
        <f>'Rugi Laba Kepala Barongan'!E11</f>
        <v>2544545.8374999999</v>
      </c>
      <c r="E6" s="81">
        <f>'Rataan Biaya Investasi'!$E$20</f>
        <v>419722.08</v>
      </c>
      <c r="F6" s="81">
        <f>SUM(D6:E6)</f>
        <v>2964267.9175</v>
      </c>
    </row>
    <row r="7" spans="3:6" x14ac:dyDescent="0.25">
      <c r="C7" s="3">
        <v>2022</v>
      </c>
      <c r="D7" s="81">
        <f>'Rugi Laba Kepala Barongan'!F11</f>
        <v>2751897.6889969991</v>
      </c>
      <c r="E7" s="81">
        <f>'Rataan Biaya Investasi'!$E$20</f>
        <v>419722.08</v>
      </c>
      <c r="F7" s="81">
        <f>SUM(D7:E7)</f>
        <v>3171619.7689969991</v>
      </c>
    </row>
    <row r="8" spans="3:6" x14ac:dyDescent="0.25">
      <c r="C8" s="3">
        <v>2023</v>
      </c>
      <c r="D8" s="81">
        <f>'Rugi Laba Kepala Barongan'!G11</f>
        <v>2973764.1700987904</v>
      </c>
      <c r="E8" s="81">
        <f>'Rataan Biaya Investasi'!$E$20</f>
        <v>419722.08</v>
      </c>
      <c r="F8" s="81">
        <f>SUM(D8:E8)</f>
        <v>3393486.2500987905</v>
      </c>
    </row>
    <row r="9" spans="3:6" x14ac:dyDescent="0.25">
      <c r="C9" s="3">
        <v>2024</v>
      </c>
      <c r="D9" s="81">
        <f>'Rugi Laba Kepala Barongan'!H11</f>
        <v>3211161.3048777059</v>
      </c>
      <c r="E9" s="81">
        <f>'Rataan Biaya Investasi'!$E$20</f>
        <v>419722.08</v>
      </c>
      <c r="F9" s="81">
        <f>SUM(D9:E9)</f>
        <v>3630883.3848777059</v>
      </c>
    </row>
    <row r="10" spans="3:6" x14ac:dyDescent="0.25">
      <c r="C10" s="3">
        <v>2025</v>
      </c>
      <c r="D10" s="81">
        <f>'Rugi Laba Kepala Barongan'!I11</f>
        <v>3465176.2390911486</v>
      </c>
      <c r="E10" s="81">
        <f>'Rataan Biaya Investasi'!$E$20</f>
        <v>419722.08</v>
      </c>
      <c r="F10" s="81">
        <f t="shared" ref="F10:F15" si="0">SUM(D10:E10)</f>
        <v>3884898.3190911487</v>
      </c>
    </row>
    <row r="11" spans="3:6" x14ac:dyDescent="0.25">
      <c r="C11" s="3">
        <v>2026</v>
      </c>
      <c r="D11" s="81">
        <f>'Rugi Laba Kepala Barongan'!J11</f>
        <v>3736972.2186995279</v>
      </c>
      <c r="E11" s="81">
        <f>'Rataan Biaya Investasi'!$E$20</f>
        <v>419722.08</v>
      </c>
      <c r="F11" s="81">
        <f t="shared" si="0"/>
        <v>4156694.298699528</v>
      </c>
    </row>
    <row r="12" spans="3:6" x14ac:dyDescent="0.25">
      <c r="C12" s="3">
        <v>2027</v>
      </c>
      <c r="D12" s="81">
        <f>'Rugi Laba Kepala Barongan'!K11</f>
        <v>4027793.9168804958</v>
      </c>
      <c r="E12" s="81">
        <f>'Rataan Biaya Investasi'!$E$20</f>
        <v>419722.08</v>
      </c>
      <c r="F12" s="81">
        <f t="shared" si="0"/>
        <v>4447515.9968804959</v>
      </c>
    </row>
    <row r="13" spans="3:6" x14ac:dyDescent="0.25">
      <c r="C13" s="3">
        <v>2028</v>
      </c>
      <c r="D13" s="81">
        <f>'Rugi Laba Kepala Barongan'!L11</f>
        <v>4338973.1339341281</v>
      </c>
      <c r="E13" s="81">
        <f>'Rataan Biaya Investasi'!$E$20</f>
        <v>419722.08</v>
      </c>
      <c r="F13" s="81">
        <f t="shared" si="0"/>
        <v>4758695.2139341282</v>
      </c>
    </row>
    <row r="14" spans="3:6" x14ac:dyDescent="0.25">
      <c r="C14" s="3">
        <v>2029</v>
      </c>
      <c r="D14" s="81">
        <f>'Rugi Laba Kepala Barongan'!M11</f>
        <v>4671934.8961815191</v>
      </c>
      <c r="E14" s="81">
        <f>'Rataan Biaya Investasi'!$E$20</f>
        <v>419722.08</v>
      </c>
      <c r="F14" s="81">
        <f t="shared" si="0"/>
        <v>5091656.9761815192</v>
      </c>
    </row>
    <row r="15" spans="3:6" x14ac:dyDescent="0.25">
      <c r="C15" s="3">
        <v>2030</v>
      </c>
      <c r="D15" s="81">
        <f>'Rugi Laba Kepala Barongan'!N11</f>
        <v>5028203.9817862259</v>
      </c>
      <c r="E15" s="81">
        <f>'Rataan Biaya Investasi'!$E$20</f>
        <v>419722.08</v>
      </c>
      <c r="F15" s="81">
        <f t="shared" si="0"/>
        <v>5447926.061786226</v>
      </c>
    </row>
    <row r="16" spans="3:6" x14ac:dyDescent="0.25">
      <c r="C16" s="119" t="s">
        <v>252</v>
      </c>
      <c r="D16" s="110">
        <f>SUM(D5:D15)</f>
        <v>39101182.388046548</v>
      </c>
      <c r="E16" s="81">
        <f>'Rataan Biaya Investasi'!$E$20</f>
        <v>419722.08</v>
      </c>
      <c r="F16" s="110">
        <f>SUM(F5:F15)</f>
        <v>43718125.268046543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7"/>
  <sheetViews>
    <sheetView showGridLines="0" topLeftCell="A25" workbookViewId="0">
      <selection activeCell="H36" sqref="H36"/>
    </sheetView>
  </sheetViews>
  <sheetFormatPr defaultRowHeight="15" x14ac:dyDescent="0.25"/>
  <cols>
    <col min="1" max="1" width="11.140625" customWidth="1"/>
    <col min="2" max="5" width="18.5703125" customWidth="1"/>
    <col min="6" max="6" width="14.5703125" customWidth="1"/>
    <col min="7" max="7" width="25.140625" customWidth="1"/>
    <col min="8" max="8" width="18.5703125" customWidth="1"/>
    <col min="9" max="9" width="14.42578125" customWidth="1"/>
    <col min="10" max="10" width="14.28515625" customWidth="1"/>
    <col min="11" max="11" width="18" customWidth="1"/>
    <col min="12" max="12" width="15.28515625" customWidth="1"/>
  </cols>
  <sheetData>
    <row r="3" spans="1:9" x14ac:dyDescent="0.25">
      <c r="B3" s="1" t="s">
        <v>279</v>
      </c>
    </row>
    <row r="4" spans="1:9" ht="21.75" customHeight="1" x14ac:dyDescent="0.25"/>
    <row r="5" spans="1:9" ht="30" customHeight="1" x14ac:dyDescent="0.25">
      <c r="B5" s="283" t="s">
        <v>193</v>
      </c>
      <c r="C5" s="142" t="s">
        <v>188</v>
      </c>
      <c r="D5" s="292" t="s">
        <v>187</v>
      </c>
      <c r="E5" s="293"/>
      <c r="F5" s="283" t="s">
        <v>194</v>
      </c>
      <c r="G5" s="283" t="s">
        <v>195</v>
      </c>
    </row>
    <row r="6" spans="1:9" x14ac:dyDescent="0.25">
      <c r="B6" s="284"/>
      <c r="C6" s="143"/>
      <c r="D6" s="96" t="s">
        <v>310</v>
      </c>
      <c r="E6" s="96" t="s">
        <v>5</v>
      </c>
      <c r="F6" s="284"/>
      <c r="G6" s="284"/>
    </row>
    <row r="7" spans="1:9" x14ac:dyDescent="0.25">
      <c r="A7" s="203" t="s">
        <v>303</v>
      </c>
      <c r="B7" s="202" t="s">
        <v>342</v>
      </c>
      <c r="C7" s="128">
        <f>'Rataan Biaya Investasi'!E18</f>
        <v>3783888</v>
      </c>
      <c r="D7" s="24"/>
      <c r="E7" s="24"/>
      <c r="F7" s="128">
        <f>-C7</f>
        <v>-3783888</v>
      </c>
      <c r="G7" s="128">
        <f>F7</f>
        <v>-3783888</v>
      </c>
    </row>
    <row r="8" spans="1:9" x14ac:dyDescent="0.25">
      <c r="A8" s="203" t="s">
        <v>304</v>
      </c>
      <c r="B8" s="118">
        <v>2020</v>
      </c>
      <c r="C8" s="118"/>
      <c r="D8" s="84">
        <f>'Cash Flow Kepala Barongan'!D5</f>
        <v>2350759</v>
      </c>
      <c r="E8" s="91">
        <f>'Cash Flow Kepala Barongan'!E5</f>
        <v>419722.08</v>
      </c>
      <c r="F8" s="91">
        <f>SUM(D8:E8)</f>
        <v>2770481.08</v>
      </c>
      <c r="G8" s="91">
        <f>G7+F8</f>
        <v>-1013406.9199999999</v>
      </c>
      <c r="H8" s="105" t="s">
        <v>301</v>
      </c>
      <c r="I8" s="105"/>
    </row>
    <row r="9" spans="1:9" x14ac:dyDescent="0.25">
      <c r="A9" s="203" t="s">
        <v>305</v>
      </c>
      <c r="B9" s="24">
        <v>2021</v>
      </c>
      <c r="C9" s="24"/>
      <c r="D9" s="81">
        <f>'Cash Flow Kepala Barongan'!D6</f>
        <v>2544545.8374999999</v>
      </c>
      <c r="E9" s="128">
        <f>'Cash Flow Kepala Barongan'!E6</f>
        <v>419722.08</v>
      </c>
      <c r="F9" s="128">
        <f>SUM(D9:E9)</f>
        <v>2964267.9175</v>
      </c>
      <c r="G9" s="128">
        <f t="shared" ref="G9:G18" si="0">G8+F9</f>
        <v>1950860.9975000001</v>
      </c>
      <c r="H9" s="105" t="s">
        <v>302</v>
      </c>
      <c r="I9" s="105"/>
    </row>
    <row r="10" spans="1:9" x14ac:dyDescent="0.25">
      <c r="B10" s="24">
        <v>2022</v>
      </c>
      <c r="C10" s="24"/>
      <c r="D10" s="81">
        <f>'Cash Flow Kepala Barongan'!D7</f>
        <v>2751897.6889969991</v>
      </c>
      <c r="E10" s="128">
        <f>'Cash Flow Kepala Barongan'!E7</f>
        <v>419722.08</v>
      </c>
      <c r="F10" s="128">
        <f>SUM(D10:E10)</f>
        <v>3171619.7689969991</v>
      </c>
      <c r="G10" s="128">
        <f t="shared" si="0"/>
        <v>5122480.7664969992</v>
      </c>
    </row>
    <row r="11" spans="1:9" x14ac:dyDescent="0.25">
      <c r="A11" s="203"/>
      <c r="B11" s="24">
        <v>2023</v>
      </c>
      <c r="C11" s="40"/>
      <c r="D11" s="81">
        <f>'Cash Flow Kepala Barongan'!D8</f>
        <v>2973764.1700987904</v>
      </c>
      <c r="E11" s="128">
        <f>'Cash Flow Kepala Barongan'!E8</f>
        <v>419722.08</v>
      </c>
      <c r="F11" s="128">
        <f>SUM(D11:E11)</f>
        <v>3393486.2500987905</v>
      </c>
      <c r="G11" s="128">
        <f t="shared" si="0"/>
        <v>8515967.0165957902</v>
      </c>
    </row>
    <row r="12" spans="1:9" x14ac:dyDescent="0.25">
      <c r="B12" s="24">
        <v>2024</v>
      </c>
      <c r="C12" s="40"/>
      <c r="D12" s="81">
        <f>'Cash Flow Kepala Barongan'!D9</f>
        <v>3211161.3048777059</v>
      </c>
      <c r="E12" s="128">
        <f>'Cash Flow Kepala Barongan'!E9</f>
        <v>419722.08</v>
      </c>
      <c r="F12" s="128">
        <f>SUM(D12:E12)</f>
        <v>3630883.3848777059</v>
      </c>
      <c r="G12" s="128">
        <f t="shared" si="0"/>
        <v>12146850.401473496</v>
      </c>
    </row>
    <row r="13" spans="1:9" x14ac:dyDescent="0.25">
      <c r="B13" s="24">
        <v>2025</v>
      </c>
      <c r="C13" s="40"/>
      <c r="D13" s="81">
        <f>'Cash Flow Kepala Barongan'!D10</f>
        <v>3465176.2390911486</v>
      </c>
      <c r="E13" s="128">
        <f>'Cash Flow Kepala Barongan'!E10</f>
        <v>419722.08</v>
      </c>
      <c r="F13" s="128">
        <f t="shared" ref="F13:F18" si="1">SUM(D13:E13)</f>
        <v>3884898.3190911487</v>
      </c>
      <c r="G13" s="128">
        <f t="shared" si="0"/>
        <v>16031748.720564645</v>
      </c>
    </row>
    <row r="14" spans="1:9" x14ac:dyDescent="0.25">
      <c r="B14" s="24">
        <v>2026</v>
      </c>
      <c r="C14" s="40"/>
      <c r="D14" s="81">
        <f>'Cash Flow Kepala Barongan'!D11</f>
        <v>3736972.2186995279</v>
      </c>
      <c r="E14" s="128">
        <f>'Cash Flow Kepala Barongan'!E11</f>
        <v>419722.08</v>
      </c>
      <c r="F14" s="128">
        <f t="shared" si="1"/>
        <v>4156694.298699528</v>
      </c>
      <c r="G14" s="128">
        <f t="shared" si="0"/>
        <v>20188443.019264173</v>
      </c>
    </row>
    <row r="15" spans="1:9" x14ac:dyDescent="0.25">
      <c r="B15" s="24">
        <v>2027</v>
      </c>
      <c r="C15" s="40"/>
      <c r="D15" s="81">
        <f>'Cash Flow Kepala Barongan'!D12</f>
        <v>4027793.9168804958</v>
      </c>
      <c r="E15" s="128">
        <f>'Cash Flow Kepala Barongan'!E12</f>
        <v>419722.08</v>
      </c>
      <c r="F15" s="128">
        <f t="shared" si="1"/>
        <v>4447515.9968804959</v>
      </c>
      <c r="G15" s="128">
        <f t="shared" si="0"/>
        <v>24635959.016144671</v>
      </c>
    </row>
    <row r="16" spans="1:9" x14ac:dyDescent="0.25">
      <c r="B16" s="24">
        <v>2028</v>
      </c>
      <c r="C16" s="40"/>
      <c r="D16" s="81">
        <f>'Cash Flow Kepala Barongan'!D13</f>
        <v>4338973.1339341281</v>
      </c>
      <c r="E16" s="128">
        <f>'Cash Flow Kepala Barongan'!E13</f>
        <v>419722.08</v>
      </c>
      <c r="F16" s="128">
        <f t="shared" si="1"/>
        <v>4758695.2139341282</v>
      </c>
      <c r="G16" s="128">
        <f t="shared" si="0"/>
        <v>29394654.230078798</v>
      </c>
    </row>
    <row r="17" spans="2:10" x14ac:dyDescent="0.25">
      <c r="B17" s="24">
        <v>2029</v>
      </c>
      <c r="C17" s="40"/>
      <c r="D17" s="81">
        <f>'Cash Flow Kepala Barongan'!D14</f>
        <v>4671934.8961815191</v>
      </c>
      <c r="E17" s="128">
        <f>'Cash Flow Kepala Barongan'!E14</f>
        <v>419722.08</v>
      </c>
      <c r="F17" s="128">
        <f t="shared" si="1"/>
        <v>5091656.9761815192</v>
      </c>
      <c r="G17" s="128">
        <f t="shared" si="0"/>
        <v>34486311.206260316</v>
      </c>
    </row>
    <row r="18" spans="2:10" x14ac:dyDescent="0.25">
      <c r="B18" s="24">
        <v>2030</v>
      </c>
      <c r="C18" s="40"/>
      <c r="D18" s="81">
        <f>'Cash Flow Kepala Barongan'!D15</f>
        <v>5028203.9817862259</v>
      </c>
      <c r="E18" s="128">
        <f>'Cash Flow Kepala Barongan'!E15</f>
        <v>419722.08</v>
      </c>
      <c r="F18" s="128">
        <f t="shared" si="1"/>
        <v>5447926.061786226</v>
      </c>
      <c r="G18" s="128">
        <f t="shared" si="0"/>
        <v>39934237.268046543</v>
      </c>
    </row>
    <row r="19" spans="2:10" x14ac:dyDescent="0.25">
      <c r="B19" t="s">
        <v>313</v>
      </c>
    </row>
    <row r="21" spans="2:10" x14ac:dyDescent="0.25">
      <c r="B21" s="168" t="s">
        <v>197</v>
      </c>
      <c r="C21" s="169">
        <f>1+G8/F9+1</f>
        <v>1.6581257335016177</v>
      </c>
      <c r="D21" s="217"/>
    </row>
    <row r="22" spans="2:10" x14ac:dyDescent="0.25">
      <c r="C22">
        <v>1</v>
      </c>
      <c r="D22" t="s">
        <v>280</v>
      </c>
      <c r="E22">
        <f>ROUNDUP(0.66*12,0)</f>
        <v>8</v>
      </c>
      <c r="F22" t="s">
        <v>199</v>
      </c>
      <c r="G22">
        <f>ROUNDUP(0.92*30,0)</f>
        <v>28</v>
      </c>
      <c r="H22" t="s">
        <v>200</v>
      </c>
    </row>
    <row r="24" spans="2:10" x14ac:dyDescent="0.25">
      <c r="B24" s="127" t="s">
        <v>198</v>
      </c>
      <c r="C24" t="s">
        <v>288</v>
      </c>
    </row>
    <row r="26" spans="2:10" x14ac:dyDescent="0.25">
      <c r="B26" s="170" t="s">
        <v>201</v>
      </c>
      <c r="C26" s="171">
        <f>IRR(F7:F18)</f>
        <v>0.79972896983959729</v>
      </c>
      <c r="D26" s="181"/>
    </row>
    <row r="27" spans="2:10" x14ac:dyDescent="0.25">
      <c r="B27" s="126"/>
      <c r="C27" s="173"/>
      <c r="J27" s="181"/>
    </row>
    <row r="28" spans="2:10" x14ac:dyDescent="0.25">
      <c r="B28" s="127" t="s">
        <v>198</v>
      </c>
      <c r="C28" t="s">
        <v>334</v>
      </c>
    </row>
    <row r="29" spans="2:10" x14ac:dyDescent="0.25">
      <c r="B29" s="127"/>
      <c r="C29" t="s">
        <v>285</v>
      </c>
    </row>
    <row r="30" spans="2:10" x14ac:dyDescent="0.25">
      <c r="B30" s="127"/>
    </row>
    <row r="31" spans="2:10" x14ac:dyDescent="0.25">
      <c r="B31" s="174" t="s">
        <v>286</v>
      </c>
    </row>
    <row r="32" spans="2:10" x14ac:dyDescent="0.25">
      <c r="B32" s="174" t="s">
        <v>287</v>
      </c>
    </row>
    <row r="33" spans="1:9" x14ac:dyDescent="0.25">
      <c r="B33" s="174"/>
    </row>
    <row r="34" spans="1:9" x14ac:dyDescent="0.25">
      <c r="B34" s="170" t="s">
        <v>202</v>
      </c>
      <c r="C34" s="172">
        <f>NPV(6%,F8:F18)+F7</f>
        <v>26355364.870358288</v>
      </c>
      <c r="D34" s="127" t="s">
        <v>198</v>
      </c>
      <c r="E34" t="s">
        <v>329</v>
      </c>
      <c r="H34" s="181"/>
    </row>
    <row r="36" spans="1:9" x14ac:dyDescent="0.25">
      <c r="A36" s="56"/>
      <c r="B36" s="290" t="s">
        <v>291</v>
      </c>
      <c r="C36" s="285" t="s">
        <v>292</v>
      </c>
      <c r="D36" s="285" t="s">
        <v>293</v>
      </c>
      <c r="E36" s="191" t="s">
        <v>298</v>
      </c>
      <c r="F36" s="285" t="s">
        <v>294</v>
      </c>
      <c r="G36" s="285" t="s">
        <v>295</v>
      </c>
      <c r="H36" s="181"/>
      <c r="I36" s="1"/>
    </row>
    <row r="37" spans="1:9" ht="23.25" customHeight="1" x14ac:dyDescent="0.25">
      <c r="A37" s="56"/>
      <c r="B37" s="291"/>
      <c r="C37" s="286"/>
      <c r="D37" s="286"/>
      <c r="E37" s="192">
        <v>0.06</v>
      </c>
      <c r="F37" s="286"/>
      <c r="G37" s="286"/>
      <c r="H37" s="181"/>
    </row>
    <row r="38" spans="1:9" x14ac:dyDescent="0.25">
      <c r="A38" s="56"/>
      <c r="B38" s="188">
        <v>2020</v>
      </c>
      <c r="C38" s="189">
        <f>'Rugi Laba Kepala Barongan'!D8</f>
        <v>6637428.0800000001</v>
      </c>
      <c r="D38" s="189">
        <f>'Rugi Laba Kepala Barongan'!D6</f>
        <v>9000000</v>
      </c>
      <c r="E38" s="216">
        <v>0.94299999999999995</v>
      </c>
      <c r="F38" s="189">
        <f>C38*E38</f>
        <v>6259094.6794400001</v>
      </c>
      <c r="G38" s="189">
        <f t="shared" ref="G38:G48" si="2">D38*E38</f>
        <v>8487000</v>
      </c>
      <c r="H38" s="104"/>
      <c r="I38" s="68"/>
    </row>
    <row r="39" spans="1:9" x14ac:dyDescent="0.25">
      <c r="A39" s="56"/>
      <c r="B39" s="3">
        <v>2021</v>
      </c>
      <c r="C39" s="90">
        <f>'Rugi Laba Kepala Barongan'!E8</f>
        <v>7072667.5</v>
      </c>
      <c r="D39" s="90">
        <f>'Rugi Laba Kepala Barongan'!E6</f>
        <v>9630000</v>
      </c>
      <c r="E39" s="184">
        <v>0.89</v>
      </c>
      <c r="F39" s="185">
        <f t="shared" ref="F39:F48" si="3">E39*C39</f>
        <v>6294674.0750000002</v>
      </c>
      <c r="G39" s="185">
        <f t="shared" si="2"/>
        <v>8570700</v>
      </c>
      <c r="H39" s="104"/>
      <c r="I39" s="68"/>
    </row>
    <row r="40" spans="1:9" x14ac:dyDescent="0.25">
      <c r="A40" s="56"/>
      <c r="B40" s="3">
        <v>2022</v>
      </c>
      <c r="C40" s="90">
        <f>'Rugi Laba Kepala Barongan'!F8</f>
        <v>7538373.6794000007</v>
      </c>
      <c r="D40" s="90">
        <f>'Rugi Laba Kepala Barongan'!F6</f>
        <v>10304100</v>
      </c>
      <c r="E40" s="184">
        <v>0.84</v>
      </c>
      <c r="F40" s="185">
        <f t="shared" si="3"/>
        <v>6332233.8906960003</v>
      </c>
      <c r="G40" s="185">
        <f t="shared" si="2"/>
        <v>8655444</v>
      </c>
      <c r="H40" s="104"/>
      <c r="I40" s="68"/>
    </row>
    <row r="41" spans="1:9" x14ac:dyDescent="0.25">
      <c r="A41" s="56"/>
      <c r="B41" s="3">
        <v>2023</v>
      </c>
      <c r="C41" s="90">
        <f>'Rugi Laba Kepala Barongan'!G8</f>
        <v>8036679.2913579997</v>
      </c>
      <c r="D41" s="90">
        <f>'Rugi Laba Kepala Barongan'!G6</f>
        <v>11025387</v>
      </c>
      <c r="E41" s="184">
        <v>0.79200000000000004</v>
      </c>
      <c r="F41" s="185">
        <f t="shared" si="3"/>
        <v>6365049.998755536</v>
      </c>
      <c r="G41" s="185">
        <f t="shared" si="2"/>
        <v>8732106.5040000007</v>
      </c>
      <c r="H41" s="104"/>
      <c r="I41" s="68"/>
    </row>
    <row r="42" spans="1:9" x14ac:dyDescent="0.25">
      <c r="A42" s="56"/>
      <c r="B42" s="3">
        <v>2024</v>
      </c>
      <c r="C42" s="90">
        <f>'Rugi Laba Kepala Barongan'!H8</f>
        <v>8569866.2961530592</v>
      </c>
      <c r="D42" s="90">
        <f>'Rugi Laba Kepala Barongan'!H6</f>
        <v>11797164.09</v>
      </c>
      <c r="E42" s="184">
        <v>0.747</v>
      </c>
      <c r="F42" s="185">
        <f t="shared" si="3"/>
        <v>6401690.1232263353</v>
      </c>
      <c r="G42" s="185">
        <f t="shared" si="2"/>
        <v>8812481.5752300005</v>
      </c>
      <c r="H42" s="104"/>
      <c r="I42" s="68"/>
    </row>
    <row r="43" spans="1:9" x14ac:dyDescent="0.25">
      <c r="A43" s="56"/>
      <c r="B43" s="3">
        <v>2025</v>
      </c>
      <c r="C43" s="90">
        <f>'Rugi Laba Kepala Barongan'!I8</f>
        <v>9140376.3912837729</v>
      </c>
      <c r="D43" s="90">
        <f>'Rugi Laba Kepala Barongan'!I6</f>
        <v>12622965.576300003</v>
      </c>
      <c r="E43" s="184">
        <v>0.70499999999999996</v>
      </c>
      <c r="F43" s="185">
        <f t="shared" si="3"/>
        <v>6443965.3558550598</v>
      </c>
      <c r="G43" s="185">
        <f t="shared" si="2"/>
        <v>8899190.7312915009</v>
      </c>
    </row>
    <row r="44" spans="1:9" x14ac:dyDescent="0.25">
      <c r="A44" s="56"/>
      <c r="B44" s="3">
        <v>2026</v>
      </c>
      <c r="C44" s="90">
        <f>'Rugi Laba Kepala Barongan'!J8</f>
        <v>9750822.1930736378</v>
      </c>
      <c r="D44" s="90">
        <f>'Rugi Laba Kepala Barongan'!J6</f>
        <v>13506573.166641003</v>
      </c>
      <c r="E44" s="184">
        <v>0.66500000000000004</v>
      </c>
      <c r="F44" s="185">
        <f t="shared" si="3"/>
        <v>6484296.7583939694</v>
      </c>
      <c r="G44" s="185">
        <f t="shared" si="2"/>
        <v>8981871.1558162663</v>
      </c>
      <c r="H44" s="104"/>
    </row>
    <row r="45" spans="1:9" x14ac:dyDescent="0.25">
      <c r="A45" s="56"/>
      <c r="B45" s="3">
        <v>2027</v>
      </c>
      <c r="C45" s="90">
        <f>'Rugi Laba Kepala Barongan'!K8</f>
        <v>10403999.200988794</v>
      </c>
      <c r="D45" s="90">
        <f>'Rugi Laba Kepala Barongan'!K6</f>
        <v>14452033.288305875</v>
      </c>
      <c r="E45" s="184">
        <v>0.627</v>
      </c>
      <c r="F45" s="185">
        <f t="shared" si="3"/>
        <v>6523307.4990199739</v>
      </c>
      <c r="G45" s="185">
        <f t="shared" si="2"/>
        <v>9061424.8717677835</v>
      </c>
      <c r="H45" s="104"/>
      <c r="I45" s="104"/>
    </row>
    <row r="46" spans="1:9" x14ac:dyDescent="0.25">
      <c r="A46" s="56"/>
      <c r="B46" s="3">
        <v>2028</v>
      </c>
      <c r="C46" s="90">
        <f>'Rugi Laba Kepala Barongan'!L8</f>
        <v>11102898.599458009</v>
      </c>
      <c r="D46" s="90">
        <f>'Rugi Laba Kepala Barongan'!L6</f>
        <v>15463675.618487284</v>
      </c>
      <c r="E46" s="184">
        <v>0.59199999999999997</v>
      </c>
      <c r="F46" s="185">
        <f t="shared" si="3"/>
        <v>6572915.9708791412</v>
      </c>
      <c r="G46" s="185">
        <f t="shared" si="2"/>
        <v>9154495.9661444724</v>
      </c>
    </row>
    <row r="47" spans="1:9" x14ac:dyDescent="0.25">
      <c r="A47" s="56"/>
      <c r="B47" s="3">
        <v>2029</v>
      </c>
      <c r="C47" s="90">
        <f>'Rugi Laba Kepala Barongan'!M8</f>
        <v>11850720.955820069</v>
      </c>
      <c r="D47" s="90">
        <f>'Rugi Laba Kepala Barongan'!M6</f>
        <v>16546132.911781395</v>
      </c>
      <c r="E47" s="184">
        <v>0.55800000000000005</v>
      </c>
      <c r="F47" s="185">
        <f t="shared" si="3"/>
        <v>6612702.293347599</v>
      </c>
      <c r="G47" s="185">
        <f t="shared" si="2"/>
        <v>9232742.1647740193</v>
      </c>
    </row>
    <row r="48" spans="1:9" x14ac:dyDescent="0.25">
      <c r="A48" s="56"/>
      <c r="B48" s="3">
        <v>2030</v>
      </c>
      <c r="C48" s="90">
        <f>'Rugi Laba Kepala Barongan'!N8</f>
        <v>12650890.877127474</v>
      </c>
      <c r="D48" s="90">
        <f>'Rugi Laba Kepala Barongan'!N6</f>
        <v>17704362.215606093</v>
      </c>
      <c r="E48" s="184">
        <v>0.52700000000000002</v>
      </c>
      <c r="F48" s="185">
        <f t="shared" si="3"/>
        <v>6667019.4922461789</v>
      </c>
      <c r="G48" s="185">
        <f t="shared" si="2"/>
        <v>9330198.8876244109</v>
      </c>
    </row>
    <row r="49" spans="1:7" x14ac:dyDescent="0.25">
      <c r="A49" s="183"/>
      <c r="B49" s="287" t="s">
        <v>299</v>
      </c>
      <c r="C49" s="288"/>
      <c r="D49" s="288"/>
      <c r="E49" s="289"/>
      <c r="F49" s="200">
        <f>'Rataan Biaya Investasi'!E18</f>
        <v>3783888</v>
      </c>
      <c r="G49" s="196"/>
    </row>
    <row r="50" spans="1:7" s="32" customFormat="1" x14ac:dyDescent="0.25">
      <c r="A50" s="183"/>
      <c r="B50" s="197"/>
      <c r="C50" s="198"/>
      <c r="D50" s="198"/>
      <c r="E50" s="201" t="s">
        <v>1</v>
      </c>
      <c r="F50" s="199">
        <f>SUM(F38:F49)</f>
        <v>74740838.136859804</v>
      </c>
      <c r="G50" s="199">
        <f>SUM(G38:G49)</f>
        <v>97917655.85664846</v>
      </c>
    </row>
    <row r="51" spans="1:7" s="32" customFormat="1" x14ac:dyDescent="0.25">
      <c r="A51" s="183"/>
      <c r="B51" s="194"/>
      <c r="C51" s="194"/>
      <c r="D51" s="194"/>
      <c r="E51" s="194"/>
      <c r="F51" s="186"/>
      <c r="G51" s="195"/>
    </row>
    <row r="52" spans="1:7" x14ac:dyDescent="0.25">
      <c r="A52" s="183"/>
      <c r="B52" s="127" t="s">
        <v>296</v>
      </c>
      <c r="C52" t="s">
        <v>297</v>
      </c>
    </row>
    <row r="53" spans="1:7" x14ac:dyDescent="0.25">
      <c r="A53" s="56"/>
      <c r="B53" s="170" t="s">
        <v>300</v>
      </c>
      <c r="C53" s="187">
        <f>G50/F50</f>
        <v>1.3100957695624045</v>
      </c>
      <c r="D53" t="s">
        <v>343</v>
      </c>
    </row>
    <row r="54" spans="1:7" x14ac:dyDescent="0.25">
      <c r="A54" s="56"/>
      <c r="B54" s="176"/>
    </row>
    <row r="55" spans="1:7" x14ac:dyDescent="0.25">
      <c r="B55" s="112" t="s">
        <v>198</v>
      </c>
      <c r="C55" t="s">
        <v>281</v>
      </c>
    </row>
    <row r="57" spans="1:7" x14ac:dyDescent="0.25">
      <c r="B57" s="127" t="s">
        <v>332</v>
      </c>
      <c r="C57" s="1" t="s">
        <v>333</v>
      </c>
    </row>
  </sheetData>
  <mergeCells count="10">
    <mergeCell ref="F5:F6"/>
    <mergeCell ref="G5:G6"/>
    <mergeCell ref="F36:F37"/>
    <mergeCell ref="G36:G37"/>
    <mergeCell ref="B49:E49"/>
    <mergeCell ref="B36:B37"/>
    <mergeCell ref="C36:C37"/>
    <mergeCell ref="D36:D37"/>
    <mergeCell ref="B5:B6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N21"/>
  <sheetViews>
    <sheetView showGridLines="0" workbookViewId="0">
      <selection activeCell="F6" sqref="F6"/>
    </sheetView>
  </sheetViews>
  <sheetFormatPr defaultRowHeight="15" x14ac:dyDescent="0.25"/>
  <cols>
    <col min="3" max="3" width="36.85546875" customWidth="1"/>
    <col min="4" max="8" width="18.140625" customWidth="1"/>
    <col min="9" max="14" width="20.85546875" customWidth="1"/>
  </cols>
  <sheetData>
    <row r="2" spans="3:14" x14ac:dyDescent="0.25">
      <c r="C2" s="1" t="s">
        <v>306</v>
      </c>
    </row>
    <row r="4" spans="3:14" x14ac:dyDescent="0.25">
      <c r="C4" s="118" t="s">
        <v>186</v>
      </c>
      <c r="D4" s="118">
        <v>2020</v>
      </c>
      <c r="E4" s="118">
        <v>2021</v>
      </c>
      <c r="F4" s="123">
        <v>2022</v>
      </c>
      <c r="G4" s="118">
        <v>2023</v>
      </c>
      <c r="H4" s="118">
        <v>2024</v>
      </c>
      <c r="I4" s="55">
        <v>2025</v>
      </c>
      <c r="J4" s="55">
        <v>2026</v>
      </c>
      <c r="K4" s="55">
        <v>2027</v>
      </c>
      <c r="L4" s="55">
        <v>2028</v>
      </c>
      <c r="M4" s="55">
        <v>2029</v>
      </c>
      <c r="N4" s="55">
        <v>2030</v>
      </c>
    </row>
    <row r="5" spans="3:14" x14ac:dyDescent="0.25">
      <c r="C5" s="115" t="s">
        <v>187</v>
      </c>
      <c r="D5" s="113"/>
      <c r="E5" s="113"/>
      <c r="F5" s="124"/>
      <c r="G5" s="3"/>
      <c r="H5" s="3"/>
      <c r="I5" s="2"/>
      <c r="J5" s="2"/>
      <c r="K5" s="2"/>
      <c r="L5" s="2"/>
      <c r="M5" s="2"/>
      <c r="N5" s="2"/>
    </row>
    <row r="6" spans="3:14" x14ac:dyDescent="0.25">
      <c r="C6" s="3" t="s">
        <v>244</v>
      </c>
      <c r="D6" s="165">
        <f>D17*'Kapasitas Produksi'!$G$16</f>
        <v>132000000</v>
      </c>
      <c r="E6" s="165">
        <f>E17*'Kapasitas Produksi'!$G$16</f>
        <v>141240000</v>
      </c>
      <c r="F6" s="165">
        <f>F17*'Kapasitas Produksi'!$G$16</f>
        <v>151126800</v>
      </c>
      <c r="G6" s="165">
        <f>G17*'Kapasitas Produksi'!$G$16</f>
        <v>161705676</v>
      </c>
      <c r="H6" s="165">
        <f>H17*'Kapasitas Produksi'!$G$16</f>
        <v>173025073.31999999</v>
      </c>
      <c r="I6" s="165">
        <f>I17*'Kapasitas Produksi'!$G$16</f>
        <v>185136828.4524</v>
      </c>
      <c r="J6" s="165">
        <f>J17*'Kapasitas Produksi'!$G$16</f>
        <v>198096406.44406801</v>
      </c>
      <c r="K6" s="165">
        <f>K17*'Kapasitas Produksi'!$G$16</f>
        <v>211963154.89515275</v>
      </c>
      <c r="L6" s="165">
        <f>L17*'Kapasitas Produksi'!$G$16</f>
        <v>226800575.73781347</v>
      </c>
      <c r="M6" s="165">
        <f>M17*'Kapasitas Produksi'!$G$16</f>
        <v>242676616.03946039</v>
      </c>
      <c r="N6" s="165">
        <f>N17*'Kapasitas Produksi'!$G$16</f>
        <v>259663979.16222262</v>
      </c>
    </row>
    <row r="7" spans="3:14" x14ac:dyDescent="0.25">
      <c r="C7" s="115" t="s">
        <v>188</v>
      </c>
      <c r="D7" s="113"/>
      <c r="E7" s="113"/>
      <c r="F7" s="124"/>
      <c r="G7" s="3"/>
      <c r="H7" s="3"/>
      <c r="I7" s="2"/>
      <c r="J7" s="2"/>
      <c r="K7" s="2"/>
      <c r="L7" s="2"/>
      <c r="M7" s="2"/>
      <c r="N7" s="2"/>
    </row>
    <row r="8" spans="3:14" x14ac:dyDescent="0.25">
      <c r="C8" s="3" t="s">
        <v>247</v>
      </c>
      <c r="D8" s="116">
        <f>HPP!D22</f>
        <v>129308367.79428571</v>
      </c>
      <c r="E8" s="116">
        <f>'Rataan Biaya Produksi'!F7+'Rataan Biaya Produksi'!F10+'Rataan Biaya Produksi'!F12+'Rataan Biaya Produksi'!F13</f>
        <v>138330572.99428573</v>
      </c>
      <c r="F8" s="116">
        <f>'Rataan Biaya Produksi'!G7+'Rataan Biaya Produksi'!G10+'Rataan Biaya Produksi'!G12+'Rataan Biaya Produksi'!G13</f>
        <v>147984332.55828574</v>
      </c>
      <c r="G8" s="116">
        <f>'Rataan Biaya Produksi'!H7+'Rataan Biaya Produksi'!H10+'Rataan Biaya Produksi'!H12+'Rataan Biaya Produksi'!H13</f>
        <v>158313855.29176575</v>
      </c>
      <c r="H8" s="116">
        <f>'Rataan Biaya Produksi'!I7+'Rataan Biaya Produksi'!I10+'Rataan Biaya Produksi'!I12+'Rataan Biaya Produksi'!I13</f>
        <v>169366444.61658934</v>
      </c>
      <c r="I8" s="116">
        <f>'Rataan Biaya Produksi'!J7+'Rataan Biaya Produksi'!J10+'Rataan Biaya Produksi'!J12+'Rataan Biaya Produksi'!J13</f>
        <v>181192715.19415057</v>
      </c>
      <c r="J8" s="116">
        <f>'Rataan Biaya Produksi'!K7+'Rataan Biaya Produksi'!K10+'Rataan Biaya Produksi'!K12+'Rataan Biaya Produksi'!K13</f>
        <v>193846824.71214113</v>
      </c>
      <c r="K8" s="116">
        <f>'Rataan Biaya Produksi'!L7+'Rataan Biaya Produksi'!L10+'Rataan Biaya Produksi'!L12+'Rataan Biaya Produksi'!L13</f>
        <v>207386721.896391</v>
      </c>
      <c r="L8" s="116">
        <f>'Rataan Biaya Produksi'!M7+'Rataan Biaya Produksi'!M10+'Rataan Biaya Produksi'!M12+'Rataan Biaya Produksi'!M13</f>
        <v>221874411.88353837</v>
      </c>
      <c r="M8" s="116">
        <f>'Rataan Biaya Produksi'!N7+'Rataan Biaya Produksi'!N10+'Rataan Biaya Produksi'!N12+'Rataan Biaya Produksi'!N13</f>
        <v>237376240.16978604</v>
      </c>
      <c r="N8" s="116">
        <f>'Rataan Biaya Produksi'!O7+'Rataan Biaya Produksi'!O10+'Rataan Biaya Produksi'!O12+'Rataan Biaya Produksi'!O13</f>
        <v>253963196.43607107</v>
      </c>
    </row>
    <row r="9" spans="3:14" x14ac:dyDescent="0.25">
      <c r="C9" s="115" t="s">
        <v>189</v>
      </c>
      <c r="D9" s="116">
        <f>D6-D8</f>
        <v>2691632.2057142854</v>
      </c>
      <c r="E9" s="116">
        <f t="shared" ref="E9:N9" si="0">E6-E8</f>
        <v>2909427.0057142675</v>
      </c>
      <c r="F9" s="116">
        <f t="shared" si="0"/>
        <v>3142467.441714257</v>
      </c>
      <c r="G9" s="116">
        <f t="shared" si="0"/>
        <v>3391820.7082342505</v>
      </c>
      <c r="H9" s="116">
        <f t="shared" si="0"/>
        <v>3658628.7034106553</v>
      </c>
      <c r="I9" s="116">
        <f t="shared" si="0"/>
        <v>3944113.2582494318</v>
      </c>
      <c r="J9" s="116">
        <f t="shared" si="0"/>
        <v>4249581.7319268882</v>
      </c>
      <c r="K9" s="116">
        <f t="shared" si="0"/>
        <v>4576432.9987617433</v>
      </c>
      <c r="L9" s="116">
        <f t="shared" si="0"/>
        <v>4926163.8542751074</v>
      </c>
      <c r="M9" s="116">
        <f t="shared" si="0"/>
        <v>5300375.8696743548</v>
      </c>
      <c r="N9" s="116">
        <f t="shared" si="0"/>
        <v>5700782.7261515558</v>
      </c>
    </row>
    <row r="10" spans="3:14" x14ac:dyDescent="0.25">
      <c r="C10" s="115" t="s">
        <v>192</v>
      </c>
      <c r="D10" s="116">
        <f>D9*0.5%</f>
        <v>13458.161028571427</v>
      </c>
      <c r="E10" s="116">
        <f>E9*0.5%</f>
        <v>14547.135028571338</v>
      </c>
      <c r="F10" s="116">
        <f t="shared" ref="F10:N10" si="1">F9*0.5%</f>
        <v>15712.337208571285</v>
      </c>
      <c r="G10" s="116">
        <f t="shared" si="1"/>
        <v>16959.103541171255</v>
      </c>
      <c r="H10" s="116">
        <f t="shared" si="1"/>
        <v>18293.143517053275</v>
      </c>
      <c r="I10" s="116">
        <f t="shared" si="1"/>
        <v>19720.56629124716</v>
      </c>
      <c r="J10" s="116">
        <f t="shared" si="1"/>
        <v>21247.908659634442</v>
      </c>
      <c r="K10" s="116">
        <f t="shared" si="1"/>
        <v>22882.164993808718</v>
      </c>
      <c r="L10" s="116">
        <f t="shared" si="1"/>
        <v>24630.819271375538</v>
      </c>
      <c r="M10" s="116">
        <f t="shared" si="1"/>
        <v>26501.879348371775</v>
      </c>
      <c r="N10" s="116">
        <f t="shared" si="1"/>
        <v>28503.913630757779</v>
      </c>
    </row>
    <row r="11" spans="3:14" x14ac:dyDescent="0.25">
      <c r="C11" s="115" t="s">
        <v>245</v>
      </c>
      <c r="D11" s="117">
        <f>D9-D10</f>
        <v>2678174.0446857139</v>
      </c>
      <c r="E11" s="117">
        <f t="shared" ref="E11:N11" si="2">E9-E10</f>
        <v>2894879.8706856961</v>
      </c>
      <c r="F11" s="117">
        <f t="shared" si="2"/>
        <v>3126755.1045056856</v>
      </c>
      <c r="G11" s="117">
        <f t="shared" si="2"/>
        <v>3374861.6046930794</v>
      </c>
      <c r="H11" s="117">
        <f t="shared" si="2"/>
        <v>3640335.559893602</v>
      </c>
      <c r="I11" s="117">
        <f t="shared" si="2"/>
        <v>3924392.6919581848</v>
      </c>
      <c r="J11" s="117">
        <f t="shared" si="2"/>
        <v>4228333.823267254</v>
      </c>
      <c r="K11" s="117">
        <f t="shared" si="2"/>
        <v>4553550.8337679347</v>
      </c>
      <c r="L11" s="117">
        <f t="shared" si="2"/>
        <v>4901533.035003732</v>
      </c>
      <c r="M11" s="117">
        <f t="shared" si="2"/>
        <v>5273873.9903259827</v>
      </c>
      <c r="N11" s="117">
        <f t="shared" si="2"/>
        <v>5672278.8125207983</v>
      </c>
    </row>
    <row r="12" spans="3:14" x14ac:dyDescent="0.25">
      <c r="C12" s="114"/>
      <c r="D12" s="166"/>
      <c r="E12" s="114"/>
      <c r="F12" s="114"/>
      <c r="G12" s="102"/>
      <c r="H12" s="102"/>
    </row>
    <row r="14" spans="3:14" x14ac:dyDescent="0.25">
      <c r="C14" s="111" t="s">
        <v>191</v>
      </c>
      <c r="D14" s="97">
        <v>7.0000000000000007E-2</v>
      </c>
    </row>
    <row r="15" spans="3:14" x14ac:dyDescent="0.25">
      <c r="C15" s="111"/>
      <c r="D15" s="97"/>
    </row>
    <row r="16" spans="3:14" x14ac:dyDescent="0.25">
      <c r="C16" s="118" t="s">
        <v>8</v>
      </c>
      <c r="D16" s="118">
        <v>2020</v>
      </c>
      <c r="E16" s="118">
        <v>2021</v>
      </c>
      <c r="F16" s="123">
        <v>2022</v>
      </c>
      <c r="G16" s="118">
        <v>2023</v>
      </c>
      <c r="H16" s="118">
        <v>2024</v>
      </c>
      <c r="I16" s="55">
        <v>2025</v>
      </c>
      <c r="J16" s="55">
        <v>2026</v>
      </c>
      <c r="K16" s="55">
        <v>2027</v>
      </c>
      <c r="L16" s="55">
        <v>2028</v>
      </c>
      <c r="M16" s="55">
        <v>2029</v>
      </c>
      <c r="N16" s="55">
        <v>2030</v>
      </c>
    </row>
    <row r="17" spans="3:14" x14ac:dyDescent="0.25">
      <c r="C17" s="161" t="s">
        <v>190</v>
      </c>
      <c r="D17" s="90">
        <v>550000</v>
      </c>
      <c r="E17" s="90">
        <f>D17*$D$14+D17</f>
        <v>588500</v>
      </c>
      <c r="F17" s="90">
        <f t="shared" ref="F17:H17" si="3">E17*$D$14+E17</f>
        <v>629695</v>
      </c>
      <c r="G17" s="90">
        <f t="shared" si="3"/>
        <v>673773.65</v>
      </c>
      <c r="H17" s="90">
        <f t="shared" si="3"/>
        <v>720937.80550000002</v>
      </c>
      <c r="I17" s="90">
        <f t="shared" ref="I17" si="4">H17*$D$14+H17</f>
        <v>771403.45188499999</v>
      </c>
      <c r="J17" s="90">
        <f t="shared" ref="J17" si="5">I17*$D$14+I17</f>
        <v>825401.69351695001</v>
      </c>
      <c r="K17" s="90">
        <f t="shared" ref="K17" si="6">J17*$D$14+J17</f>
        <v>883179.81206313649</v>
      </c>
      <c r="L17" s="90">
        <f t="shared" ref="L17" si="7">K17*$D$14+K17</f>
        <v>945002.39890755608</v>
      </c>
      <c r="M17" s="90">
        <f t="shared" ref="M17" si="8">L17*$D$14+L17</f>
        <v>1011152.566831085</v>
      </c>
      <c r="N17" s="90">
        <f t="shared" ref="N17" si="9">M17*$D$14+M17</f>
        <v>1081933.246509261</v>
      </c>
    </row>
    <row r="19" spans="3:14" x14ac:dyDescent="0.25">
      <c r="C19" s="152" t="s">
        <v>134</v>
      </c>
    </row>
    <row r="20" spans="3:14" x14ac:dyDescent="0.25">
      <c r="C20" t="s">
        <v>246</v>
      </c>
    </row>
    <row r="21" spans="3:14" x14ac:dyDescent="0.25">
      <c r="C21" t="s">
        <v>284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F18"/>
  <sheetViews>
    <sheetView showGridLines="0" workbookViewId="0">
      <selection activeCell="I11" sqref="I11"/>
    </sheetView>
  </sheetViews>
  <sheetFormatPr defaultRowHeight="15" x14ac:dyDescent="0.25"/>
  <cols>
    <col min="4" max="4" width="24.42578125" customWidth="1"/>
    <col min="5" max="5" width="20.140625" customWidth="1"/>
    <col min="6" max="6" width="20" customWidth="1"/>
  </cols>
  <sheetData>
    <row r="2" spans="3:6" x14ac:dyDescent="0.25">
      <c r="C2" s="163" t="s">
        <v>308</v>
      </c>
    </row>
    <row r="3" spans="3:6" x14ac:dyDescent="0.25">
      <c r="C3" s="163"/>
    </row>
    <row r="4" spans="3:6" ht="30" x14ac:dyDescent="0.25">
      <c r="C4" s="148" t="s">
        <v>249</v>
      </c>
      <c r="D4" s="148" t="s">
        <v>307</v>
      </c>
      <c r="E4" s="148" t="s">
        <v>250</v>
      </c>
      <c r="F4" s="148" t="s">
        <v>251</v>
      </c>
    </row>
    <row r="5" spans="3:6" x14ac:dyDescent="0.25">
      <c r="C5" s="3">
        <v>2020</v>
      </c>
      <c r="D5" s="81">
        <f>'Rugi Laba Bujangganong'!D11</f>
        <v>2678174.0446857139</v>
      </c>
      <c r="E5" s="81">
        <f>'Rataan Biaya Investasi'!$E$20</f>
        <v>419722.08</v>
      </c>
      <c r="F5" s="81">
        <f>SUM(D5:E5)</f>
        <v>3097896.124685714</v>
      </c>
    </row>
    <row r="6" spans="3:6" x14ac:dyDescent="0.25">
      <c r="C6" s="3">
        <v>2021</v>
      </c>
      <c r="D6" s="81">
        <f>'Rugi Laba Bujangganong'!E11</f>
        <v>2894879.8706856961</v>
      </c>
      <c r="E6" s="81">
        <f>'Rataan Biaya Investasi'!$E$20</f>
        <v>419722.08</v>
      </c>
      <c r="F6" s="81">
        <f t="shared" ref="F6:F15" si="0">SUM(D6:E6)</f>
        <v>3314601.9506856962</v>
      </c>
    </row>
    <row r="7" spans="3:6" x14ac:dyDescent="0.25">
      <c r="C7" s="3">
        <v>2022</v>
      </c>
      <c r="D7" s="81">
        <f>'Rugi Laba Bujangganong'!F11</f>
        <v>3126755.1045056856</v>
      </c>
      <c r="E7" s="81">
        <f>'Rataan Biaya Investasi'!$E$20</f>
        <v>419722.08</v>
      </c>
      <c r="F7" s="81">
        <f t="shared" si="0"/>
        <v>3546477.1845056857</v>
      </c>
    </row>
    <row r="8" spans="3:6" x14ac:dyDescent="0.25">
      <c r="C8" s="3">
        <v>2023</v>
      </c>
      <c r="D8" s="81">
        <f>'Rugi Laba Bujangganong'!G11</f>
        <v>3374861.6046930794</v>
      </c>
      <c r="E8" s="81">
        <f>'Rataan Biaya Investasi'!$E$20</f>
        <v>419722.08</v>
      </c>
      <c r="F8" s="81">
        <f t="shared" si="0"/>
        <v>3794583.6846930794</v>
      </c>
    </row>
    <row r="9" spans="3:6" x14ac:dyDescent="0.25">
      <c r="C9" s="3">
        <v>2024</v>
      </c>
      <c r="D9" s="81">
        <f>'Rugi Laba Bujangganong'!H11</f>
        <v>3640335.559893602</v>
      </c>
      <c r="E9" s="81">
        <f>'Rataan Biaya Investasi'!$E$20</f>
        <v>419722.08</v>
      </c>
      <c r="F9" s="81">
        <f t="shared" si="0"/>
        <v>4060057.6398936021</v>
      </c>
    </row>
    <row r="10" spans="3:6" x14ac:dyDescent="0.25">
      <c r="C10" s="3">
        <v>2025</v>
      </c>
      <c r="D10" s="81">
        <f>'Rugi Laba Bujangganong'!I11</f>
        <v>3924392.6919581848</v>
      </c>
      <c r="E10" s="81">
        <f>'Rataan Biaya Investasi'!$E$20</f>
        <v>419722.08</v>
      </c>
      <c r="F10" s="81">
        <f t="shared" si="0"/>
        <v>4344114.7719581844</v>
      </c>
    </row>
    <row r="11" spans="3:6" x14ac:dyDescent="0.25">
      <c r="C11" s="3">
        <v>2026</v>
      </c>
      <c r="D11" s="81">
        <f>'Rugi Laba Bujangganong'!J11</f>
        <v>4228333.823267254</v>
      </c>
      <c r="E11" s="81">
        <f>'Rataan Biaya Investasi'!$E$20</f>
        <v>419722.08</v>
      </c>
      <c r="F11" s="81">
        <f t="shared" si="0"/>
        <v>4648055.9032672541</v>
      </c>
    </row>
    <row r="12" spans="3:6" x14ac:dyDescent="0.25">
      <c r="C12" s="3">
        <v>2027</v>
      </c>
      <c r="D12" s="81">
        <f>'Rugi Laba Bujangganong'!K11</f>
        <v>4553550.8337679347</v>
      </c>
      <c r="E12" s="81">
        <f>'Rataan Biaya Investasi'!$E$20</f>
        <v>419722.08</v>
      </c>
      <c r="F12" s="81">
        <f t="shared" si="0"/>
        <v>4973272.9137679348</v>
      </c>
    </row>
    <row r="13" spans="3:6" x14ac:dyDescent="0.25">
      <c r="C13" s="3">
        <v>2028</v>
      </c>
      <c r="D13" s="81">
        <f>'Rugi Laba Bujangganong'!L11</f>
        <v>4901533.035003732</v>
      </c>
      <c r="E13" s="81">
        <f>'Rataan Biaya Investasi'!$E$20</f>
        <v>419722.08</v>
      </c>
      <c r="F13" s="81">
        <f t="shared" si="0"/>
        <v>5321255.115003732</v>
      </c>
    </row>
    <row r="14" spans="3:6" x14ac:dyDescent="0.25">
      <c r="C14" s="3">
        <v>2029</v>
      </c>
      <c r="D14" s="81">
        <f>'Rugi Laba Bujangganong'!M11</f>
        <v>5273873.9903259827</v>
      </c>
      <c r="E14" s="81">
        <f>'Rataan Biaya Investasi'!$E$20</f>
        <v>419722.08</v>
      </c>
      <c r="F14" s="81">
        <f t="shared" si="0"/>
        <v>5693596.0703259828</v>
      </c>
    </row>
    <row r="15" spans="3:6" x14ac:dyDescent="0.25">
      <c r="C15" s="3">
        <v>2030</v>
      </c>
      <c r="D15" s="81">
        <f>'Rugi Laba Bujangganong'!N11</f>
        <v>5672278.8125207983</v>
      </c>
      <c r="E15" s="81">
        <f>'Rataan Biaya Investasi'!$E$20</f>
        <v>419722.08</v>
      </c>
      <c r="F15" s="81">
        <f t="shared" si="0"/>
        <v>6092000.8925207984</v>
      </c>
    </row>
    <row r="16" spans="3:6" x14ac:dyDescent="0.25">
      <c r="C16" s="119" t="s">
        <v>252</v>
      </c>
      <c r="D16" s="110">
        <f>SUM(D5:D15)</f>
        <v>44268969.371307671</v>
      </c>
      <c r="E16" s="81"/>
      <c r="F16" s="110">
        <f>SUM(F5:F15)</f>
        <v>48885912.251307666</v>
      </c>
    </row>
    <row r="18" spans="6:6" x14ac:dyDescent="0.25">
      <c r="F18" s="10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42"/>
  <sheetViews>
    <sheetView showGridLines="0" topLeftCell="A19" workbookViewId="0">
      <selection activeCell="J22" sqref="J22"/>
    </sheetView>
  </sheetViews>
  <sheetFormatPr defaultRowHeight="15" x14ac:dyDescent="0.25"/>
  <cols>
    <col min="1" max="1" width="15.140625" customWidth="1"/>
    <col min="2" max="2" width="12" customWidth="1"/>
    <col min="3" max="7" width="18.140625" customWidth="1"/>
  </cols>
  <sheetData>
    <row r="2" spans="1:11" x14ac:dyDescent="0.25">
      <c r="B2" s="1" t="s">
        <v>309</v>
      </c>
    </row>
    <row r="4" spans="1:11" ht="19.5" customHeight="1" x14ac:dyDescent="0.25">
      <c r="B4" s="283" t="s">
        <v>193</v>
      </c>
      <c r="C4" s="283" t="s">
        <v>188</v>
      </c>
      <c r="D4" s="292" t="s">
        <v>187</v>
      </c>
      <c r="E4" s="293"/>
      <c r="F4" s="283" t="s">
        <v>194</v>
      </c>
      <c r="G4" s="283" t="s">
        <v>195</v>
      </c>
    </row>
    <row r="5" spans="1:11" x14ac:dyDescent="0.25">
      <c r="B5" s="284"/>
      <c r="C5" s="284"/>
      <c r="D5" s="96" t="s">
        <v>310</v>
      </c>
      <c r="E5" s="96" t="s">
        <v>5</v>
      </c>
      <c r="F5" s="284"/>
      <c r="G5" s="284"/>
    </row>
    <row r="6" spans="1:11" x14ac:dyDescent="0.25">
      <c r="A6" s="193"/>
      <c r="B6" s="24" t="s">
        <v>342</v>
      </c>
      <c r="C6" s="128">
        <f>'Rataan Biaya Investasi'!E18</f>
        <v>3783888</v>
      </c>
      <c r="D6" s="24"/>
      <c r="E6" s="24"/>
      <c r="F6" s="128">
        <f>-C6</f>
        <v>-3783888</v>
      </c>
      <c r="G6" s="128">
        <f>F6</f>
        <v>-3783888</v>
      </c>
    </row>
    <row r="7" spans="1:11" x14ac:dyDescent="0.25">
      <c r="A7" s="193"/>
      <c r="B7" s="24">
        <v>2020</v>
      </c>
      <c r="C7" s="24"/>
      <c r="D7" s="179">
        <f>'Cash Flow Bujangganong'!D5</f>
        <v>2678174.0446857139</v>
      </c>
      <c r="E7" s="128">
        <f>'Cash Flow Bujangganong'!E5</f>
        <v>419722.08</v>
      </c>
      <c r="F7" s="128">
        <f>SUM(D7:E7)</f>
        <v>3097896.124685714</v>
      </c>
      <c r="G7" s="128">
        <f>G6+F7</f>
        <v>-685991.87531428598</v>
      </c>
      <c r="H7" s="32"/>
      <c r="I7" s="32"/>
      <c r="J7" s="32"/>
      <c r="K7" s="32"/>
    </row>
    <row r="8" spans="1:11" x14ac:dyDescent="0.25">
      <c r="A8" s="193"/>
      <c r="B8" s="24">
        <v>2021</v>
      </c>
      <c r="C8" s="24"/>
      <c r="D8" s="179">
        <f>'Cash Flow Bujangganong'!D6</f>
        <v>2894879.8706856961</v>
      </c>
      <c r="E8" s="128">
        <f>'Cash Flow Bujangganong'!E6</f>
        <v>419722.08</v>
      </c>
      <c r="F8" s="128">
        <f>SUM(D8:E8)</f>
        <v>3314601.9506856962</v>
      </c>
      <c r="G8" s="128">
        <f t="shared" ref="G8:G17" si="0">G7+F8</f>
        <v>2628610.0753714102</v>
      </c>
      <c r="H8" s="32"/>
      <c r="I8" s="32"/>
      <c r="J8" s="32"/>
      <c r="K8" s="32"/>
    </row>
    <row r="9" spans="1:11" x14ac:dyDescent="0.25">
      <c r="B9" s="24">
        <v>2022</v>
      </c>
      <c r="C9" s="24"/>
      <c r="D9" s="179">
        <f>'Cash Flow Bujangganong'!D7</f>
        <v>3126755.1045056856</v>
      </c>
      <c r="E9" s="128">
        <f>'Cash Flow Bujangganong'!E7</f>
        <v>419722.08</v>
      </c>
      <c r="F9" s="128">
        <f>SUM(D9:E9)</f>
        <v>3546477.1845056857</v>
      </c>
      <c r="G9" s="128">
        <f t="shared" si="0"/>
        <v>6175087.2598770959</v>
      </c>
      <c r="H9" s="32"/>
      <c r="I9" s="32"/>
      <c r="J9" s="32"/>
      <c r="K9" s="32"/>
    </row>
    <row r="10" spans="1:11" x14ac:dyDescent="0.25">
      <c r="B10" s="24">
        <v>2023</v>
      </c>
      <c r="C10" s="40"/>
      <c r="D10" s="179">
        <f>'Cash Flow Bujangganong'!D8</f>
        <v>3374861.6046930794</v>
      </c>
      <c r="E10" s="128">
        <f>'Cash Flow Bujangganong'!E8</f>
        <v>419722.08</v>
      </c>
      <c r="F10" s="128">
        <f>SUM(D10:E10)</f>
        <v>3794583.6846930794</v>
      </c>
      <c r="G10" s="128">
        <f t="shared" si="0"/>
        <v>9969670.9445701763</v>
      </c>
    </row>
    <row r="11" spans="1:11" x14ac:dyDescent="0.25">
      <c r="B11" s="24">
        <v>2024</v>
      </c>
      <c r="C11" s="40"/>
      <c r="D11" s="179">
        <f>'Cash Flow Bujangganong'!D9</f>
        <v>3640335.559893602</v>
      </c>
      <c r="E11" s="128">
        <f>'Cash Flow Bujangganong'!E9</f>
        <v>419722.08</v>
      </c>
      <c r="F11" s="128">
        <f>SUM(D11:E11)</f>
        <v>4060057.6398936021</v>
      </c>
      <c r="G11" s="128">
        <f t="shared" si="0"/>
        <v>14029728.584463779</v>
      </c>
    </row>
    <row r="12" spans="1:11" x14ac:dyDescent="0.25">
      <c r="B12" s="24">
        <v>2025</v>
      </c>
      <c r="C12" s="40"/>
      <c r="D12" s="179">
        <f>'Cash Flow Bujangganong'!D10</f>
        <v>3924392.6919581848</v>
      </c>
      <c r="E12" s="128">
        <f>'Cash Flow Bujangganong'!E10</f>
        <v>419722.08</v>
      </c>
      <c r="F12" s="128">
        <f t="shared" ref="F12:F17" si="1">SUM(D12:E12)</f>
        <v>4344114.7719581844</v>
      </c>
      <c r="G12" s="128">
        <f t="shared" si="0"/>
        <v>18373843.356421962</v>
      </c>
    </row>
    <row r="13" spans="1:11" x14ac:dyDescent="0.25">
      <c r="B13" s="24">
        <v>2026</v>
      </c>
      <c r="C13" s="40"/>
      <c r="D13" s="179">
        <f>'Cash Flow Bujangganong'!D11</f>
        <v>4228333.823267254</v>
      </c>
      <c r="E13" s="128">
        <f>'Cash Flow Bujangganong'!E11</f>
        <v>419722.08</v>
      </c>
      <c r="F13" s="128">
        <f t="shared" si="1"/>
        <v>4648055.9032672541</v>
      </c>
      <c r="G13" s="128">
        <f t="shared" si="0"/>
        <v>23021899.259689216</v>
      </c>
    </row>
    <row r="14" spans="1:11" x14ac:dyDescent="0.25">
      <c r="B14" s="24">
        <v>2027</v>
      </c>
      <c r="C14" s="40"/>
      <c r="D14" s="179">
        <f>'Cash Flow Bujangganong'!D12</f>
        <v>4553550.8337679347</v>
      </c>
      <c r="E14" s="128">
        <f>'Cash Flow Bujangganong'!E12</f>
        <v>419722.08</v>
      </c>
      <c r="F14" s="128">
        <f t="shared" si="1"/>
        <v>4973272.9137679348</v>
      </c>
      <c r="G14" s="128">
        <f t="shared" si="0"/>
        <v>27995172.173457149</v>
      </c>
    </row>
    <row r="15" spans="1:11" x14ac:dyDescent="0.25">
      <c r="B15" s="24">
        <v>2028</v>
      </c>
      <c r="C15" s="40"/>
      <c r="D15" s="179">
        <f>'Cash Flow Bujangganong'!D13</f>
        <v>4901533.035003732</v>
      </c>
      <c r="E15" s="128">
        <f>'Cash Flow Bujangganong'!E13</f>
        <v>419722.08</v>
      </c>
      <c r="F15" s="128">
        <f t="shared" si="1"/>
        <v>5321255.115003732</v>
      </c>
      <c r="G15" s="128">
        <f t="shared" si="0"/>
        <v>33316427.288460881</v>
      </c>
    </row>
    <row r="16" spans="1:11" x14ac:dyDescent="0.25">
      <c r="B16" s="24">
        <v>2029</v>
      </c>
      <c r="C16" s="40"/>
      <c r="D16" s="179">
        <f>'Cash Flow Bujangganong'!D14</f>
        <v>5273873.9903259827</v>
      </c>
      <c r="E16" s="128">
        <f>'Cash Flow Bujangganong'!E14</f>
        <v>419722.08</v>
      </c>
      <c r="F16" s="128">
        <f t="shared" si="1"/>
        <v>5693596.0703259828</v>
      </c>
      <c r="G16" s="128">
        <f t="shared" si="0"/>
        <v>39010023.358786866</v>
      </c>
    </row>
    <row r="17" spans="2:11" x14ac:dyDescent="0.25">
      <c r="B17" s="24">
        <v>2030</v>
      </c>
      <c r="C17" s="40"/>
      <c r="D17" s="179">
        <f>'Cash Flow Bujangganong'!D15</f>
        <v>5672278.8125207983</v>
      </c>
      <c r="E17" s="128">
        <f>'Cash Flow Bujangganong'!E15</f>
        <v>419722.08</v>
      </c>
      <c r="F17" s="128">
        <f t="shared" si="1"/>
        <v>6092000.8925207984</v>
      </c>
      <c r="G17" s="128">
        <f t="shared" si="0"/>
        <v>45102024.251307666</v>
      </c>
    </row>
    <row r="18" spans="2:11" x14ac:dyDescent="0.25">
      <c r="C18" t="s">
        <v>313</v>
      </c>
    </row>
    <row r="20" spans="2:11" x14ac:dyDescent="0.25">
      <c r="D20" s="181"/>
    </row>
    <row r="21" spans="2:11" x14ac:dyDescent="0.25">
      <c r="D21" s="170" t="s">
        <v>197</v>
      </c>
      <c r="E21" s="169">
        <f>1+(G7/F8+1)</f>
        <v>1.7930394401739931</v>
      </c>
      <c r="F21" s="182">
        <v>1</v>
      </c>
      <c r="G21" t="s">
        <v>280</v>
      </c>
      <c r="H21">
        <f>ROUNDUP(0.79*12,0)</f>
        <v>10</v>
      </c>
      <c r="I21" t="s">
        <v>199</v>
      </c>
      <c r="J21">
        <f>ROUNDDOWN(0.48*30,0)</f>
        <v>14</v>
      </c>
      <c r="K21" t="s">
        <v>200</v>
      </c>
    </row>
    <row r="22" spans="2:11" x14ac:dyDescent="0.25">
      <c r="D22" s="207" t="s">
        <v>201</v>
      </c>
      <c r="E22" s="171">
        <f>IRR(F6:F17)</f>
        <v>0.88706926446715273</v>
      </c>
    </row>
    <row r="23" spans="2:11" x14ac:dyDescent="0.25">
      <c r="D23" s="170" t="s">
        <v>202</v>
      </c>
      <c r="E23" s="215">
        <f>NPV(6%,F7:F11)+F6</f>
        <v>11105907.025963588</v>
      </c>
    </row>
    <row r="25" spans="2:11" x14ac:dyDescent="0.25">
      <c r="B25" s="290" t="s">
        <v>291</v>
      </c>
      <c r="C25" s="285" t="s">
        <v>292</v>
      </c>
      <c r="D25" s="285" t="s">
        <v>293</v>
      </c>
      <c r="E25" s="191" t="s">
        <v>298</v>
      </c>
      <c r="F25" s="285" t="s">
        <v>294</v>
      </c>
      <c r="G25" s="285" t="s">
        <v>295</v>
      </c>
    </row>
    <row r="26" spans="2:11" x14ac:dyDescent="0.25">
      <c r="B26" s="291"/>
      <c r="C26" s="286"/>
      <c r="D26" s="286"/>
      <c r="E26" s="192">
        <v>0.06</v>
      </c>
      <c r="F26" s="286"/>
      <c r="G26" s="286"/>
    </row>
    <row r="27" spans="2:11" x14ac:dyDescent="0.25">
      <c r="B27" s="188">
        <v>2020</v>
      </c>
      <c r="C27" s="189">
        <f>'Rugi Laba Bujangganong'!D8</f>
        <v>129308367.79428571</v>
      </c>
      <c r="D27" s="189">
        <f>'Rugi Laba Bujangganong'!D6</f>
        <v>132000000</v>
      </c>
      <c r="E27" s="190">
        <v>0.94299999999999995</v>
      </c>
      <c r="F27" s="189">
        <f>C27*E27</f>
        <v>121937790.83001143</v>
      </c>
      <c r="G27" s="189">
        <f>D27*E27</f>
        <v>124476000</v>
      </c>
    </row>
    <row r="28" spans="2:11" x14ac:dyDescent="0.25">
      <c r="B28" s="3">
        <v>2021</v>
      </c>
      <c r="C28" s="90">
        <f>'Rugi Laba Bujangganong'!E8</f>
        <v>138330572.99428573</v>
      </c>
      <c r="D28" s="90">
        <f>'Rugi Laba Bujangganong'!E6</f>
        <v>141240000</v>
      </c>
      <c r="E28" s="184">
        <v>0.89</v>
      </c>
      <c r="F28" s="189">
        <f t="shared" ref="F28:F37" si="2">C28*E28</f>
        <v>123114209.96491431</v>
      </c>
      <c r="G28" s="189">
        <f t="shared" ref="G28:G37" si="3">D28*E28</f>
        <v>125703600</v>
      </c>
    </row>
    <row r="29" spans="2:11" x14ac:dyDescent="0.25">
      <c r="B29" s="3">
        <v>2022</v>
      </c>
      <c r="C29" s="90">
        <f>'Rugi Laba Bujangganong'!F8</f>
        <v>147984332.55828574</v>
      </c>
      <c r="D29" s="90">
        <f>'Rugi Laba Bujangganong'!F6</f>
        <v>151126800</v>
      </c>
      <c r="E29" s="184">
        <v>0.84</v>
      </c>
      <c r="F29" s="189">
        <f t="shared" si="2"/>
        <v>124306839.34896001</v>
      </c>
      <c r="G29" s="189">
        <f t="shared" si="3"/>
        <v>126946512</v>
      </c>
    </row>
    <row r="30" spans="2:11" x14ac:dyDescent="0.25">
      <c r="B30" s="3">
        <v>2023</v>
      </c>
      <c r="C30" s="90">
        <f>'Rugi Laba Bujangganong'!G8</f>
        <v>158313855.29176575</v>
      </c>
      <c r="D30" s="90">
        <f>'Rugi Laba Bujangganong'!G6</f>
        <v>161705676</v>
      </c>
      <c r="E30" s="184">
        <v>0.79200000000000004</v>
      </c>
      <c r="F30" s="189">
        <f t="shared" si="2"/>
        <v>125384573.39107847</v>
      </c>
      <c r="G30" s="189">
        <f t="shared" si="3"/>
        <v>128070895.392</v>
      </c>
    </row>
    <row r="31" spans="2:11" x14ac:dyDescent="0.25">
      <c r="B31" s="3">
        <v>2024</v>
      </c>
      <c r="C31" s="90">
        <f>'Rugi Laba Bujangganong'!H8</f>
        <v>169366444.61658934</v>
      </c>
      <c r="D31" s="90">
        <f>'Rugi Laba Bujangganong'!H6</f>
        <v>173025073.31999999</v>
      </c>
      <c r="E31" s="184">
        <v>0.747</v>
      </c>
      <c r="F31" s="189">
        <f t="shared" si="2"/>
        <v>126516734.12859224</v>
      </c>
      <c r="G31" s="189">
        <f t="shared" si="3"/>
        <v>129249729.77003999</v>
      </c>
    </row>
    <row r="32" spans="2:11" x14ac:dyDescent="0.25">
      <c r="B32" s="3">
        <v>2025</v>
      </c>
      <c r="C32" s="90">
        <f>'Rugi Laba Bujangganong'!I8</f>
        <v>181192715.19415057</v>
      </c>
      <c r="D32" s="90">
        <f>'Rugi Laba Bujangganong'!I6</f>
        <v>185136828.4524</v>
      </c>
      <c r="E32" s="184">
        <v>0.70499999999999996</v>
      </c>
      <c r="F32" s="189">
        <f t="shared" si="2"/>
        <v>127740864.21187614</v>
      </c>
      <c r="G32" s="189">
        <f t="shared" si="3"/>
        <v>130521464.05894199</v>
      </c>
    </row>
    <row r="33" spans="2:7" x14ac:dyDescent="0.25">
      <c r="B33" s="3">
        <v>2026</v>
      </c>
      <c r="C33" s="90">
        <f>'Rugi Laba Bujangganong'!J8</f>
        <v>193846824.71214113</v>
      </c>
      <c r="D33" s="90">
        <f>'Rugi Laba Bujangganong'!J6</f>
        <v>198096406.44406801</v>
      </c>
      <c r="E33" s="184">
        <v>0.66500000000000004</v>
      </c>
      <c r="F33" s="189">
        <f t="shared" si="2"/>
        <v>128908138.43357386</v>
      </c>
      <c r="G33" s="189">
        <f t="shared" si="3"/>
        <v>131734110.28530523</v>
      </c>
    </row>
    <row r="34" spans="2:7" x14ac:dyDescent="0.25">
      <c r="B34" s="3">
        <v>2027</v>
      </c>
      <c r="C34" s="90">
        <f>'Rugi Laba Bujangganong'!K8</f>
        <v>207386721.896391</v>
      </c>
      <c r="D34" s="90">
        <f>'Rugi Laba Bujangganong'!K6</f>
        <v>211963154.89515275</v>
      </c>
      <c r="E34" s="184">
        <v>0.627</v>
      </c>
      <c r="F34" s="189">
        <f t="shared" si="2"/>
        <v>130031474.62903716</v>
      </c>
      <c r="G34" s="189">
        <f t="shared" si="3"/>
        <v>132900898.11926077</v>
      </c>
    </row>
    <row r="35" spans="2:7" x14ac:dyDescent="0.25">
      <c r="B35" s="3">
        <v>2028</v>
      </c>
      <c r="C35" s="90">
        <f>'Rugi Laba Bujangganong'!L8</f>
        <v>221874411.88353837</v>
      </c>
      <c r="D35" s="90">
        <f>'Rugi Laba Bujangganong'!L6</f>
        <v>226800575.73781347</v>
      </c>
      <c r="E35" s="184">
        <v>0.59199999999999997</v>
      </c>
      <c r="F35" s="189">
        <f t="shared" si="2"/>
        <v>131349651.83505471</v>
      </c>
      <c r="G35" s="189">
        <f t="shared" si="3"/>
        <v>134265940.83678555</v>
      </c>
    </row>
    <row r="36" spans="2:7" x14ac:dyDescent="0.25">
      <c r="B36" s="3">
        <v>2029</v>
      </c>
      <c r="C36" s="90">
        <f>'Rugi Laba Bujangganong'!M8</f>
        <v>237376240.16978604</v>
      </c>
      <c r="D36" s="90">
        <f>'Rugi Laba Bujangganong'!M6</f>
        <v>242676616.03946039</v>
      </c>
      <c r="E36" s="184">
        <v>0.55800000000000005</v>
      </c>
      <c r="F36" s="189">
        <f t="shared" si="2"/>
        <v>132455942.01474062</v>
      </c>
      <c r="G36" s="189">
        <f t="shared" si="3"/>
        <v>135413551.75001892</v>
      </c>
    </row>
    <row r="37" spans="2:7" x14ac:dyDescent="0.25">
      <c r="B37" s="3">
        <v>2030</v>
      </c>
      <c r="C37" s="90">
        <f>'Rugi Laba Bujangganong'!N8</f>
        <v>253963196.43607107</v>
      </c>
      <c r="D37" s="90">
        <f>'Rugi Laba Bujangganong'!N6</f>
        <v>259663979.16222262</v>
      </c>
      <c r="E37" s="184">
        <v>0.52700000000000002</v>
      </c>
      <c r="F37" s="189">
        <f t="shared" si="2"/>
        <v>133838604.52180946</v>
      </c>
      <c r="G37" s="189">
        <f t="shared" si="3"/>
        <v>136842917.01849133</v>
      </c>
    </row>
    <row r="38" spans="2:7" x14ac:dyDescent="0.25">
      <c r="B38" s="287" t="s">
        <v>299</v>
      </c>
      <c r="C38" s="288"/>
      <c r="D38" s="288"/>
      <c r="E38" s="289"/>
      <c r="F38" s="200">
        <f>'Rataan Biaya Investasi'!E18</f>
        <v>3783888</v>
      </c>
      <c r="G38" s="196"/>
    </row>
    <row r="39" spans="2:7" x14ac:dyDescent="0.25">
      <c r="B39" s="197"/>
      <c r="C39" s="198"/>
      <c r="D39" s="198"/>
      <c r="E39" s="201" t="s">
        <v>1</v>
      </c>
      <c r="F39" s="199">
        <f>SUM(F27:F38)</f>
        <v>1409368711.3096485</v>
      </c>
      <c r="G39" s="199">
        <f>SUM(G27:G38)</f>
        <v>1436125619.2308438</v>
      </c>
    </row>
    <row r="40" spans="2:7" x14ac:dyDescent="0.25">
      <c r="B40" s="194"/>
      <c r="C40" s="194"/>
      <c r="D40" s="194"/>
      <c r="E40" s="194"/>
      <c r="F40" s="186"/>
      <c r="G40" s="195"/>
    </row>
    <row r="41" spans="2:7" x14ac:dyDescent="0.25">
      <c r="D41" s="127" t="s">
        <v>314</v>
      </c>
      <c r="E41" t="s">
        <v>297</v>
      </c>
    </row>
    <row r="42" spans="2:7" x14ac:dyDescent="0.25">
      <c r="D42" s="170" t="s">
        <v>314</v>
      </c>
      <c r="E42" s="187">
        <f>G39/F39</f>
        <v>1.0189850304654</v>
      </c>
    </row>
  </sheetData>
  <mergeCells count="11">
    <mergeCell ref="B38:E38"/>
    <mergeCell ref="B4:B5"/>
    <mergeCell ref="C4:C5"/>
    <mergeCell ref="D4:E4"/>
    <mergeCell ref="F4:F5"/>
    <mergeCell ref="G4:G5"/>
    <mergeCell ref="B25:B26"/>
    <mergeCell ref="C25:C26"/>
    <mergeCell ref="D25:D26"/>
    <mergeCell ref="F25:F26"/>
    <mergeCell ref="G25:G2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2:N21"/>
  <sheetViews>
    <sheetView showGridLines="0" workbookViewId="0">
      <selection activeCell="E14" sqref="E14"/>
    </sheetView>
  </sheetViews>
  <sheetFormatPr defaultRowHeight="15" x14ac:dyDescent="0.25"/>
  <cols>
    <col min="3" max="3" width="41.42578125" customWidth="1"/>
    <col min="4" max="8" width="20.5703125" customWidth="1"/>
    <col min="9" max="14" width="19.42578125" customWidth="1"/>
  </cols>
  <sheetData>
    <row r="2" spans="3:14" x14ac:dyDescent="0.25">
      <c r="C2" s="1" t="s">
        <v>341</v>
      </c>
    </row>
    <row r="4" spans="3:14" x14ac:dyDescent="0.25">
      <c r="C4" s="118" t="s">
        <v>186</v>
      </c>
      <c r="D4" s="118">
        <v>2020</v>
      </c>
      <c r="E4" s="118">
        <v>2021</v>
      </c>
      <c r="F4" s="123">
        <v>2022</v>
      </c>
      <c r="G4" s="118">
        <v>2023</v>
      </c>
      <c r="H4" s="118">
        <v>2024</v>
      </c>
      <c r="I4" s="55">
        <v>2025</v>
      </c>
      <c r="J4" s="55">
        <v>2026</v>
      </c>
      <c r="K4" s="55">
        <v>2027</v>
      </c>
      <c r="L4" s="55">
        <v>2028</v>
      </c>
      <c r="M4" s="55">
        <v>2029</v>
      </c>
      <c r="N4" s="55">
        <v>2030</v>
      </c>
    </row>
    <row r="5" spans="3:14" x14ac:dyDescent="0.25">
      <c r="C5" s="115" t="s">
        <v>187</v>
      </c>
      <c r="D5" s="113"/>
      <c r="E5" s="113"/>
      <c r="F5" s="124"/>
      <c r="G5" s="3"/>
      <c r="H5" s="3"/>
      <c r="I5" s="2"/>
      <c r="J5" s="2"/>
      <c r="K5" s="2"/>
      <c r="L5" s="2"/>
      <c r="M5" s="2"/>
      <c r="N5" s="2"/>
    </row>
    <row r="6" spans="3:14" x14ac:dyDescent="0.25">
      <c r="C6" s="3" t="s">
        <v>244</v>
      </c>
      <c r="D6" s="165">
        <f>D17*'Kapasitas Produksi'!I16</f>
        <v>3000000</v>
      </c>
      <c r="E6" s="165">
        <f>E17*'Kapasitas Produksi'!I16</f>
        <v>3210000</v>
      </c>
      <c r="F6" s="165">
        <f>F17*'Kapasitas Produksi'!I16</f>
        <v>3434700</v>
      </c>
      <c r="G6" s="165">
        <f>G17*'Kapasitas Produksi'!I16</f>
        <v>3675129</v>
      </c>
      <c r="H6" s="165">
        <f>H17*'Kapasitas Produksi'!$I$16</f>
        <v>3932388.0300000003</v>
      </c>
      <c r="I6" s="165">
        <f>I17*'Kapasitas Produksi'!$I$16</f>
        <v>4207655.1920999996</v>
      </c>
      <c r="J6" s="165">
        <f>J17*'Kapasitas Produksi'!$I$16</f>
        <v>4502191.0555469999</v>
      </c>
      <c r="K6" s="165">
        <f>K17*'Kapasitas Produksi'!$I$16</f>
        <v>4817344.4294352904</v>
      </c>
      <c r="L6" s="165">
        <f>L17*'Kapasitas Produksi'!$I$16</f>
        <v>5154558.5394957606</v>
      </c>
      <c r="M6" s="165">
        <f>M17*'Kapasitas Produksi'!$I$16</f>
        <v>5515377.637260464</v>
      </c>
      <c r="N6" s="165">
        <f>N17*'Kapasitas Produksi'!$I$16</f>
        <v>5901454.0718686963</v>
      </c>
    </row>
    <row r="7" spans="3:14" x14ac:dyDescent="0.25">
      <c r="C7" s="115" t="s">
        <v>188</v>
      </c>
      <c r="D7" s="113"/>
      <c r="E7" s="113"/>
      <c r="F7" s="124"/>
      <c r="G7" s="3"/>
      <c r="H7" s="3"/>
      <c r="I7" s="2"/>
      <c r="J7" s="2"/>
      <c r="K7" s="2"/>
      <c r="L7" s="2"/>
      <c r="M7" s="2"/>
      <c r="N7" s="2"/>
    </row>
    <row r="8" spans="3:14" x14ac:dyDescent="0.25">
      <c r="C8" s="3" t="s">
        <v>247</v>
      </c>
      <c r="D8" s="116">
        <f>'Rataan Biaya Produksi'!E8+'Rataan Biaya Produksi'!E11+'Rataan Biaya Produksi'!E12+'Rataan Biaya Produksi'!E13</f>
        <v>1655694.78</v>
      </c>
      <c r="E8" s="116">
        <f>'Rataan Biaya Produksi'!F8+'Rataan Biaya Produksi'!F11+'Rataan Biaya Produksi'!F12+'Rataan Biaya Produksi'!F13</f>
        <v>1742212.8689999999</v>
      </c>
      <c r="F8" s="116">
        <f>'Rataan Biaya Produksi'!G8+'Rataan Biaya Produksi'!G11+'Rataan Biaya Produksi'!G12+'Rataan Biaya Produksi'!G13</f>
        <v>1834787.2242300001</v>
      </c>
      <c r="G8" s="116">
        <f>'Rataan Biaya Produksi'!H8+'Rataan Biaya Produksi'!H11+'Rataan Biaya Produksi'!H12+'Rataan Biaya Produksi'!H13</f>
        <v>1933841.7843261003</v>
      </c>
      <c r="H8" s="116">
        <f>'Rataan Biaya Produksi'!I8+'Rataan Biaya Produksi'!I11+'Rataan Biaya Produksi'!I12+'Rataan Biaya Produksi'!I13</f>
        <v>2039830.163628927</v>
      </c>
      <c r="I8" s="116">
        <f>'Rataan Biaya Produksi'!J8+'Rataan Biaya Produksi'!J11+'Rataan Biaya Produksi'!J12+'Rataan Biaya Produksi'!J13</f>
        <v>2153237.729482952</v>
      </c>
      <c r="J8" s="116">
        <f>'Rataan Biaya Produksi'!K8+'Rataan Biaya Produksi'!K11+'Rataan Biaya Produksi'!K12+'Rataan Biaya Produksi'!K13</f>
        <v>2274583.8249467588</v>
      </c>
      <c r="K8" s="116">
        <f>'Rataan Biaya Produksi'!L8+'Rataan Biaya Produksi'!L11+'Rataan Biaya Produksi'!L12+'Rataan Biaya Produksi'!L13</f>
        <v>2404424.1470930316</v>
      </c>
      <c r="L8" s="116">
        <f>'Rataan Biaya Produksi'!M8+'Rataan Biaya Produksi'!M11+'Rataan Biaya Produksi'!M12+'Rataan Biaya Produksi'!M13</f>
        <v>2543353.2917895438</v>
      </c>
      <c r="M8" s="116">
        <f>'Rataan Biaya Produksi'!N8+'Rataan Biaya Produksi'!N11+'Rataan Biaya Produksi'!N12+'Rataan Biaya Produksi'!N13</f>
        <v>2692007.4766148124</v>
      </c>
      <c r="N8" s="116">
        <f>'Rataan Biaya Produksi'!O8+'Rataan Biaya Produksi'!O11+'Rataan Biaya Produksi'!O12+'Rataan Biaya Produksi'!O13</f>
        <v>2851067.4543778487</v>
      </c>
    </row>
    <row r="9" spans="3:14" x14ac:dyDescent="0.25">
      <c r="C9" s="115" t="s">
        <v>189</v>
      </c>
      <c r="D9" s="116">
        <f>D6-D8</f>
        <v>1344305.22</v>
      </c>
      <c r="E9" s="116">
        <f t="shared" ref="E9:N9" si="0">E6-E8</f>
        <v>1467787.1310000001</v>
      </c>
      <c r="F9" s="116">
        <f t="shared" si="0"/>
        <v>1599912.7757699999</v>
      </c>
      <c r="G9" s="116">
        <f t="shared" si="0"/>
        <v>1741287.2156738997</v>
      </c>
      <c r="H9" s="116">
        <f t="shared" si="0"/>
        <v>1892557.8663710733</v>
      </c>
      <c r="I9" s="116">
        <f t="shared" si="0"/>
        <v>2054417.4626170476</v>
      </c>
      <c r="J9" s="116">
        <f t="shared" si="0"/>
        <v>2227607.2306002411</v>
      </c>
      <c r="K9" s="116">
        <f t="shared" si="0"/>
        <v>2412920.2823422588</v>
      </c>
      <c r="L9" s="116">
        <f t="shared" si="0"/>
        <v>2611205.2477062168</v>
      </c>
      <c r="M9" s="116">
        <f t="shared" si="0"/>
        <v>2823370.1606456516</v>
      </c>
      <c r="N9" s="116">
        <f t="shared" si="0"/>
        <v>3050386.6174908476</v>
      </c>
    </row>
    <row r="10" spans="3:14" x14ac:dyDescent="0.25">
      <c r="C10" s="115" t="s">
        <v>192</v>
      </c>
      <c r="D10" s="116">
        <f>D9*0.5%</f>
        <v>6721.5261</v>
      </c>
      <c r="E10" s="116">
        <f t="shared" ref="E10:N10" si="1">E9*0.5%</f>
        <v>7338.9356550000002</v>
      </c>
      <c r="F10" s="116">
        <f t="shared" si="1"/>
        <v>7999.56387885</v>
      </c>
      <c r="G10" s="116">
        <f t="shared" si="1"/>
        <v>8706.4360783694992</v>
      </c>
      <c r="H10" s="116">
        <f t="shared" si="1"/>
        <v>9462.789331855367</v>
      </c>
      <c r="I10" s="116">
        <f t="shared" si="1"/>
        <v>10272.087313085238</v>
      </c>
      <c r="J10" s="116">
        <f t="shared" si="1"/>
        <v>11138.036153001205</v>
      </c>
      <c r="K10" s="116">
        <f t="shared" si="1"/>
        <v>12064.601411711294</v>
      </c>
      <c r="L10" s="116">
        <f t="shared" si="1"/>
        <v>13056.026238531083</v>
      </c>
      <c r="M10" s="116">
        <f t="shared" si="1"/>
        <v>14116.850803228259</v>
      </c>
      <c r="N10" s="116">
        <f t="shared" si="1"/>
        <v>15251.933087454237</v>
      </c>
    </row>
    <row r="11" spans="3:14" x14ac:dyDescent="0.25">
      <c r="C11" s="115" t="s">
        <v>245</v>
      </c>
      <c r="D11" s="117">
        <f>D9-D10</f>
        <v>1337583.6939000001</v>
      </c>
      <c r="E11" s="117">
        <f t="shared" ref="E11:N11" si="2">E9-E10</f>
        <v>1460448.1953450001</v>
      </c>
      <c r="F11" s="117">
        <f t="shared" si="2"/>
        <v>1591913.2118911499</v>
      </c>
      <c r="G11" s="117">
        <f t="shared" si="2"/>
        <v>1732580.7795955304</v>
      </c>
      <c r="H11" s="117">
        <f t="shared" si="2"/>
        <v>1883095.077039218</v>
      </c>
      <c r="I11" s="117">
        <f t="shared" si="2"/>
        <v>2044145.3753039623</v>
      </c>
      <c r="J11" s="117">
        <f t="shared" si="2"/>
        <v>2216469.1944472399</v>
      </c>
      <c r="K11" s="117">
        <f t="shared" si="2"/>
        <v>2400855.6809305474</v>
      </c>
      <c r="L11" s="117">
        <f t="shared" si="2"/>
        <v>2598149.2214676859</v>
      </c>
      <c r="M11" s="117">
        <f t="shared" si="2"/>
        <v>2809253.3098424235</v>
      </c>
      <c r="N11" s="117">
        <f t="shared" si="2"/>
        <v>3035134.6844033934</v>
      </c>
    </row>
    <row r="12" spans="3:14" x14ac:dyDescent="0.25">
      <c r="C12" s="114"/>
      <c r="D12" s="166"/>
      <c r="E12" s="114"/>
      <c r="F12" s="114"/>
      <c r="G12" s="102"/>
      <c r="H12" s="102"/>
    </row>
    <row r="13" spans="3:14" x14ac:dyDescent="0.25">
      <c r="E13" s="104"/>
    </row>
    <row r="14" spans="3:14" x14ac:dyDescent="0.25">
      <c r="C14" s="111" t="s">
        <v>191</v>
      </c>
      <c r="D14" s="97">
        <v>7.0000000000000007E-2</v>
      </c>
      <c r="E14" s="104"/>
    </row>
    <row r="15" spans="3:14" x14ac:dyDescent="0.25">
      <c r="C15" s="111"/>
      <c r="D15" s="97"/>
    </row>
    <row r="16" spans="3:14" x14ac:dyDescent="0.25">
      <c r="C16" s="118" t="s">
        <v>8</v>
      </c>
      <c r="D16" s="118">
        <v>2020</v>
      </c>
      <c r="E16" s="118">
        <v>2021</v>
      </c>
      <c r="F16" s="123">
        <v>2022</v>
      </c>
      <c r="G16" s="118">
        <v>2023</v>
      </c>
      <c r="H16" s="118">
        <v>2024</v>
      </c>
      <c r="I16" s="55">
        <v>2025</v>
      </c>
      <c r="J16" s="55">
        <v>2026</v>
      </c>
      <c r="K16" s="55">
        <v>2027</v>
      </c>
      <c r="L16" s="55">
        <v>2028</v>
      </c>
      <c r="M16" s="55">
        <v>2029</v>
      </c>
      <c r="N16" s="55">
        <v>2030</v>
      </c>
    </row>
    <row r="17" spans="3:14" x14ac:dyDescent="0.25">
      <c r="C17" s="161" t="s">
        <v>190</v>
      </c>
      <c r="D17" s="90">
        <v>500000</v>
      </c>
      <c r="E17" s="90">
        <f>D17*$D$14+D17</f>
        <v>535000</v>
      </c>
      <c r="F17" s="90">
        <f t="shared" ref="F17:H17" si="3">E17*$D$14+E17</f>
        <v>572450</v>
      </c>
      <c r="G17" s="90">
        <f t="shared" si="3"/>
        <v>612521.5</v>
      </c>
      <c r="H17" s="90">
        <f t="shared" si="3"/>
        <v>655398.005</v>
      </c>
      <c r="I17" s="90">
        <f t="shared" ref="I17" si="4">H17*$D$14+H17</f>
        <v>701275.86534999998</v>
      </c>
      <c r="J17" s="90">
        <f t="shared" ref="J17" si="5">I17*$D$14+I17</f>
        <v>750365.17592449998</v>
      </c>
      <c r="K17" s="90">
        <f t="shared" ref="K17" si="6">J17*$D$14+J17</f>
        <v>802890.73823921499</v>
      </c>
      <c r="L17" s="90">
        <f t="shared" ref="L17" si="7">K17*$D$14+K17</f>
        <v>859093.0899159601</v>
      </c>
      <c r="M17" s="90">
        <f t="shared" ref="M17" si="8">L17*$D$14+L17</f>
        <v>919229.6062100773</v>
      </c>
      <c r="N17" s="90">
        <f t="shared" ref="N17" si="9">M17*$D$14+M17</f>
        <v>983575.67864478275</v>
      </c>
    </row>
    <row r="19" spans="3:14" x14ac:dyDescent="0.25">
      <c r="C19" s="152" t="s">
        <v>134</v>
      </c>
    </row>
    <row r="20" spans="3:14" x14ac:dyDescent="0.25">
      <c r="C20" t="s">
        <v>246</v>
      </c>
    </row>
    <row r="21" spans="3:14" x14ac:dyDescent="0.25">
      <c r="C21" t="s">
        <v>284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2:F16"/>
  <sheetViews>
    <sheetView showGridLines="0" workbookViewId="0">
      <selection activeCell="F17" sqref="F17"/>
    </sheetView>
  </sheetViews>
  <sheetFormatPr defaultRowHeight="15" x14ac:dyDescent="0.25"/>
  <cols>
    <col min="4" max="4" width="27.7109375" customWidth="1"/>
    <col min="5" max="5" width="28" customWidth="1"/>
    <col min="6" max="6" width="27.7109375" customWidth="1"/>
  </cols>
  <sheetData>
    <row r="2" spans="3:6" x14ac:dyDescent="0.25">
      <c r="C2" s="163" t="s">
        <v>311</v>
      </c>
    </row>
    <row r="3" spans="3:6" x14ac:dyDescent="0.25">
      <c r="C3" s="163"/>
    </row>
    <row r="4" spans="3:6" ht="60" x14ac:dyDescent="0.25">
      <c r="C4" s="148" t="s">
        <v>249</v>
      </c>
      <c r="D4" s="148" t="s">
        <v>307</v>
      </c>
      <c r="E4" s="148" t="s">
        <v>250</v>
      </c>
      <c r="F4" s="148" t="s">
        <v>251</v>
      </c>
    </row>
    <row r="5" spans="3:6" x14ac:dyDescent="0.25">
      <c r="C5" s="3">
        <v>2020</v>
      </c>
      <c r="D5" s="81">
        <f>'Rugi Laba Kelonosewandono'!D11</f>
        <v>1337583.6939000001</v>
      </c>
      <c r="E5" s="81">
        <f>'Rataan Biaya Investasi'!$E$20</f>
        <v>419722.08</v>
      </c>
      <c r="F5" s="81">
        <f>SUM(D5:E5)</f>
        <v>1757305.7739000001</v>
      </c>
    </row>
    <row r="6" spans="3:6" x14ac:dyDescent="0.25">
      <c r="C6" s="3">
        <v>2021</v>
      </c>
      <c r="D6" s="81">
        <f>'Rugi Laba Kelonosewandono'!E11</f>
        <v>1460448.1953450001</v>
      </c>
      <c r="E6" s="81">
        <f>'Rataan Biaya Investasi'!$E$20</f>
        <v>419722.08</v>
      </c>
      <c r="F6" s="81">
        <f>SUM(D6:E6)</f>
        <v>1880170.2753450002</v>
      </c>
    </row>
    <row r="7" spans="3:6" x14ac:dyDescent="0.25">
      <c r="C7" s="3">
        <v>2022</v>
      </c>
      <c r="D7" s="81">
        <f>'Rugi Laba Kelonosewandono'!F11</f>
        <v>1591913.2118911499</v>
      </c>
      <c r="E7" s="81">
        <f>'Rataan Biaya Investasi'!$E$20</f>
        <v>419722.08</v>
      </c>
      <c r="F7" s="81">
        <f>SUM(D7:E7)</f>
        <v>2011635.2918911499</v>
      </c>
    </row>
    <row r="8" spans="3:6" x14ac:dyDescent="0.25">
      <c r="C8" s="3">
        <v>2023</v>
      </c>
      <c r="D8" s="81">
        <f>'Rugi Laba Kelonosewandono'!G11</f>
        <v>1732580.7795955304</v>
      </c>
      <c r="E8" s="81">
        <f>'Rataan Biaya Investasi'!$E$20</f>
        <v>419722.08</v>
      </c>
      <c r="F8" s="81">
        <f>SUM(D8:E8)</f>
        <v>2152302.8595955302</v>
      </c>
    </row>
    <row r="9" spans="3:6" x14ac:dyDescent="0.25">
      <c r="C9" s="3">
        <v>2024</v>
      </c>
      <c r="D9" s="81">
        <f>'Rugi Laba Kelonosewandono'!H11</f>
        <v>1883095.077039218</v>
      </c>
      <c r="E9" s="81">
        <f>'Rataan Biaya Investasi'!$E$20</f>
        <v>419722.08</v>
      </c>
      <c r="F9" s="81">
        <f>SUM(D9:E9)</f>
        <v>2302817.1570392181</v>
      </c>
    </row>
    <row r="10" spans="3:6" x14ac:dyDescent="0.25">
      <c r="C10" s="3">
        <v>2025</v>
      </c>
      <c r="D10" s="81">
        <f>'Rugi Laba Kelonosewandono'!I11</f>
        <v>2044145.3753039623</v>
      </c>
      <c r="E10" s="81">
        <f>'Rataan Biaya Investasi'!$E$20</f>
        <v>419722.08</v>
      </c>
      <c r="F10" s="81">
        <f t="shared" ref="F10:F15" si="0">SUM(D10:E10)</f>
        <v>2463867.4553039623</v>
      </c>
    </row>
    <row r="11" spans="3:6" x14ac:dyDescent="0.25">
      <c r="C11" s="3">
        <v>2026</v>
      </c>
      <c r="D11" s="81">
        <f>'Rugi Laba Kelonosewandono'!J11</f>
        <v>2216469.1944472399</v>
      </c>
      <c r="E11" s="81">
        <f>'Rataan Biaya Investasi'!$E$20</f>
        <v>419722.08</v>
      </c>
      <c r="F11" s="81">
        <f t="shared" si="0"/>
        <v>2636191.2744472399</v>
      </c>
    </row>
    <row r="12" spans="3:6" x14ac:dyDescent="0.25">
      <c r="C12" s="3">
        <v>2027</v>
      </c>
      <c r="D12" s="81">
        <f>'Rugi Laba Kelonosewandono'!K11</f>
        <v>2400855.6809305474</v>
      </c>
      <c r="E12" s="81">
        <f>'Rataan Biaya Investasi'!$E$20</f>
        <v>419722.08</v>
      </c>
      <c r="F12" s="81">
        <f t="shared" si="0"/>
        <v>2820577.7609305475</v>
      </c>
    </row>
    <row r="13" spans="3:6" x14ac:dyDescent="0.25">
      <c r="C13" s="3">
        <v>2028</v>
      </c>
      <c r="D13" s="81">
        <f>'Rugi Laba Kelonosewandono'!L11</f>
        <v>2598149.2214676859</v>
      </c>
      <c r="E13" s="81">
        <f>'Rataan Biaya Investasi'!$E$20</f>
        <v>419722.08</v>
      </c>
      <c r="F13" s="81">
        <f t="shared" si="0"/>
        <v>3017871.301467686</v>
      </c>
    </row>
    <row r="14" spans="3:6" x14ac:dyDescent="0.25">
      <c r="C14" s="3">
        <v>2029</v>
      </c>
      <c r="D14" s="81">
        <f>'Rugi Laba Kelonosewandono'!M11</f>
        <v>2809253.3098424235</v>
      </c>
      <c r="E14" s="81">
        <f>'Rataan Biaya Investasi'!$E$20</f>
        <v>419722.08</v>
      </c>
      <c r="F14" s="81">
        <f t="shared" si="0"/>
        <v>3228975.3898424236</v>
      </c>
    </row>
    <row r="15" spans="3:6" x14ac:dyDescent="0.25">
      <c r="C15" s="3">
        <v>2030</v>
      </c>
      <c r="D15" s="81">
        <f>'Rugi Laba Kelonosewandono'!N11</f>
        <v>3035134.6844033934</v>
      </c>
      <c r="E15" s="81">
        <f>'Rataan Biaya Investasi'!$E$20</f>
        <v>419722.08</v>
      </c>
      <c r="F15" s="81">
        <f t="shared" si="0"/>
        <v>3454856.7644033935</v>
      </c>
    </row>
    <row r="16" spans="3:6" x14ac:dyDescent="0.25">
      <c r="C16" s="119" t="s">
        <v>252</v>
      </c>
      <c r="D16" s="110">
        <f>SUM(D5:D15)</f>
        <v>23109628.42416615</v>
      </c>
      <c r="E16" s="81"/>
      <c r="F16" s="110">
        <f>SUM(F5:F15)</f>
        <v>27726571.304166153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17"/>
  <sheetViews>
    <sheetView showGridLines="0" workbookViewId="0">
      <selection activeCell="G10" sqref="G10"/>
    </sheetView>
  </sheetViews>
  <sheetFormatPr defaultRowHeight="15" x14ac:dyDescent="0.25"/>
  <cols>
    <col min="2" max="2" width="13" customWidth="1"/>
    <col min="3" max="3" width="23.5703125" customWidth="1"/>
    <col min="4" max="4" width="14" customWidth="1"/>
    <col min="6" max="7" width="12.140625" customWidth="1"/>
    <col min="8" max="8" width="13.140625" customWidth="1"/>
    <col min="9" max="9" width="37.140625" customWidth="1"/>
    <col min="10" max="10" width="44.85546875" customWidth="1"/>
    <col min="11" max="11" width="44.7109375" customWidth="1"/>
    <col min="12" max="12" width="13.5703125" customWidth="1"/>
  </cols>
  <sheetData>
    <row r="1" spans="2:11" ht="15" customHeight="1" x14ac:dyDescent="0.25">
      <c r="E1" s="41"/>
      <c r="G1" s="41"/>
      <c r="H1" s="41"/>
      <c r="I1" s="41"/>
    </row>
    <row r="2" spans="2:11" x14ac:dyDescent="0.25">
      <c r="B2" s="146" t="s">
        <v>209</v>
      </c>
      <c r="D2" s="41"/>
      <c r="E2" s="41"/>
      <c r="F2" s="41"/>
      <c r="G2" s="41"/>
      <c r="H2" s="41"/>
      <c r="I2" s="41"/>
    </row>
    <row r="3" spans="2:11" x14ac:dyDescent="0.25">
      <c r="D3" s="14"/>
      <c r="E3" s="14"/>
      <c r="F3" s="14"/>
      <c r="G3" s="14"/>
      <c r="H3" s="14"/>
    </row>
    <row r="4" spans="2:11" ht="42.75" customHeight="1" x14ac:dyDescent="0.25">
      <c r="B4" s="50" t="s">
        <v>74</v>
      </c>
      <c r="C4" s="50" t="s">
        <v>51</v>
      </c>
      <c r="D4" s="50" t="s">
        <v>54</v>
      </c>
      <c r="E4" s="50" t="s">
        <v>52</v>
      </c>
      <c r="F4" s="50" t="s">
        <v>53</v>
      </c>
      <c r="G4" s="50" t="s">
        <v>46</v>
      </c>
      <c r="H4" s="50" t="s">
        <v>56</v>
      </c>
      <c r="I4" s="50" t="s">
        <v>55</v>
      </c>
      <c r="J4" s="50" t="s">
        <v>77</v>
      </c>
      <c r="K4" s="26"/>
    </row>
    <row r="5" spans="2:11" x14ac:dyDescent="0.25">
      <c r="B5" s="3">
        <v>1</v>
      </c>
      <c r="C5" s="23" t="s">
        <v>57</v>
      </c>
      <c r="D5" s="3" t="s">
        <v>29</v>
      </c>
      <c r="E5" s="3">
        <v>37</v>
      </c>
      <c r="F5" s="3" t="s">
        <v>58</v>
      </c>
      <c r="G5" s="3" t="s">
        <v>48</v>
      </c>
      <c r="H5" s="3">
        <v>9</v>
      </c>
      <c r="I5" s="3" t="s">
        <v>59</v>
      </c>
      <c r="J5" s="21" t="s">
        <v>78</v>
      </c>
    </row>
    <row r="6" spans="2:11" x14ac:dyDescent="0.25">
      <c r="B6" s="3">
        <v>2</v>
      </c>
      <c r="C6" s="23" t="s">
        <v>60</v>
      </c>
      <c r="D6" s="3" t="s">
        <v>29</v>
      </c>
      <c r="E6" s="3">
        <v>37</v>
      </c>
      <c r="F6" s="3" t="s">
        <v>61</v>
      </c>
      <c r="G6" s="3" t="s">
        <v>48</v>
      </c>
      <c r="H6" s="3">
        <v>8</v>
      </c>
      <c r="I6" s="3" t="s">
        <v>59</v>
      </c>
      <c r="J6" s="21" t="s">
        <v>79</v>
      </c>
    </row>
    <row r="7" spans="2:11" x14ac:dyDescent="0.25">
      <c r="B7" s="3">
        <v>3</v>
      </c>
      <c r="C7" s="23" t="s">
        <v>62</v>
      </c>
      <c r="D7" s="3" t="s">
        <v>29</v>
      </c>
      <c r="E7" s="3">
        <v>29</v>
      </c>
      <c r="F7" s="3" t="s">
        <v>63</v>
      </c>
      <c r="G7" s="3" t="s">
        <v>48</v>
      </c>
      <c r="H7" s="3">
        <v>8</v>
      </c>
      <c r="I7" s="3" t="s">
        <v>64</v>
      </c>
      <c r="J7" s="21" t="s">
        <v>79</v>
      </c>
    </row>
    <row r="8" spans="2:11" x14ac:dyDescent="0.25">
      <c r="B8" s="3">
        <v>4</v>
      </c>
      <c r="C8" s="23" t="s">
        <v>66</v>
      </c>
      <c r="D8" s="3" t="s">
        <v>29</v>
      </c>
      <c r="E8" s="3">
        <v>37</v>
      </c>
      <c r="F8" s="3" t="s">
        <v>63</v>
      </c>
      <c r="G8" s="3" t="s">
        <v>48</v>
      </c>
      <c r="H8" s="3">
        <v>10</v>
      </c>
      <c r="I8" s="3" t="s">
        <v>65</v>
      </c>
      <c r="J8" s="4" t="s">
        <v>78</v>
      </c>
    </row>
    <row r="9" spans="2:11" ht="17.25" customHeight="1" x14ac:dyDescent="0.25">
      <c r="B9" s="24">
        <v>5</v>
      </c>
      <c r="C9" s="25" t="s">
        <v>70</v>
      </c>
      <c r="D9" s="24" t="s">
        <v>29</v>
      </c>
      <c r="E9" s="24">
        <v>50</v>
      </c>
      <c r="F9" s="24" t="s">
        <v>63</v>
      </c>
      <c r="G9" s="24" t="s">
        <v>48</v>
      </c>
      <c r="H9" s="24">
        <v>8</v>
      </c>
      <c r="I9" s="24" t="s">
        <v>59</v>
      </c>
      <c r="J9" s="24" t="s">
        <v>78</v>
      </c>
    </row>
    <row r="10" spans="2:11" x14ac:dyDescent="0.25">
      <c r="B10" s="24">
        <v>6</v>
      </c>
      <c r="C10" s="25" t="s">
        <v>71</v>
      </c>
      <c r="D10" s="24" t="s">
        <v>29</v>
      </c>
      <c r="E10" s="24">
        <v>43</v>
      </c>
      <c r="F10" s="24" t="s">
        <v>63</v>
      </c>
      <c r="G10" s="24" t="s">
        <v>48</v>
      </c>
      <c r="H10" s="24">
        <v>7</v>
      </c>
      <c r="I10" s="24" t="s">
        <v>59</v>
      </c>
      <c r="J10" s="27" t="s">
        <v>79</v>
      </c>
      <c r="K10" s="32"/>
    </row>
    <row r="11" spans="2:11" x14ac:dyDescent="0.25">
      <c r="B11" s="24">
        <v>7</v>
      </c>
      <c r="C11" s="25" t="s">
        <v>67</v>
      </c>
      <c r="D11" s="24" t="s">
        <v>29</v>
      </c>
      <c r="E11" s="24">
        <v>41</v>
      </c>
      <c r="F11" s="24" t="s">
        <v>58</v>
      </c>
      <c r="G11" s="24" t="s">
        <v>48</v>
      </c>
      <c r="H11" s="24">
        <v>20</v>
      </c>
      <c r="I11" s="24" t="s">
        <v>68</v>
      </c>
      <c r="J11" s="27" t="s">
        <v>78</v>
      </c>
      <c r="K11" s="32"/>
    </row>
    <row r="12" spans="2:11" x14ac:dyDescent="0.25">
      <c r="B12" s="24">
        <v>8</v>
      </c>
      <c r="C12" s="25" t="s">
        <v>69</v>
      </c>
      <c r="D12" s="24" t="s">
        <v>29</v>
      </c>
      <c r="E12" s="24">
        <v>48</v>
      </c>
      <c r="F12" s="24" t="s">
        <v>63</v>
      </c>
      <c r="G12" s="24" t="s">
        <v>48</v>
      </c>
      <c r="H12" s="24">
        <v>7</v>
      </c>
      <c r="I12" s="24" t="s">
        <v>59</v>
      </c>
      <c r="J12" s="27" t="s">
        <v>80</v>
      </c>
      <c r="K12" s="32"/>
    </row>
    <row r="13" spans="2:11" x14ac:dyDescent="0.25">
      <c r="B13" s="24">
        <v>9</v>
      </c>
      <c r="C13" s="25" t="s">
        <v>72</v>
      </c>
      <c r="D13" s="24" t="s">
        <v>29</v>
      </c>
      <c r="E13" s="24">
        <v>51</v>
      </c>
      <c r="F13" s="24" t="s">
        <v>63</v>
      </c>
      <c r="G13" s="24" t="s">
        <v>48</v>
      </c>
      <c r="H13" s="24">
        <v>5</v>
      </c>
      <c r="I13" s="24" t="s">
        <v>73</v>
      </c>
      <c r="J13" s="33" t="s">
        <v>80</v>
      </c>
      <c r="K13" s="32"/>
    </row>
    <row r="15" spans="2:11" s="32" customFormat="1" x14ac:dyDescent="0.25">
      <c r="B15" s="56"/>
      <c r="C15" s="220"/>
      <c r="D15" s="220"/>
      <c r="E15" s="220"/>
      <c r="F15" s="220"/>
      <c r="G15" s="220"/>
      <c r="H15" s="56"/>
      <c r="I15" s="56"/>
      <c r="J15" s="56"/>
    </row>
    <row r="16" spans="2:11" s="32" customFormat="1" x14ac:dyDescent="0.25">
      <c r="B16" s="56"/>
      <c r="C16" s="56"/>
      <c r="D16" s="56"/>
      <c r="E16" s="56"/>
      <c r="F16" s="56"/>
      <c r="G16" s="56"/>
      <c r="H16" s="56"/>
      <c r="I16" s="56"/>
      <c r="J16" s="56"/>
    </row>
    <row r="17" spans="2:10" x14ac:dyDescent="0.25">
      <c r="B17" s="5"/>
      <c r="C17" s="5"/>
      <c r="D17" s="5"/>
      <c r="E17" s="5"/>
      <c r="F17" s="5"/>
      <c r="G17" s="5"/>
      <c r="H17" s="5"/>
      <c r="I17" s="5"/>
      <c r="J17" s="5"/>
    </row>
  </sheetData>
  <mergeCells count="1">
    <mergeCell ref="C15:G15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2:K43"/>
  <sheetViews>
    <sheetView showGridLines="0" topLeftCell="A20" workbookViewId="0">
      <selection activeCell="J48" sqref="J48"/>
    </sheetView>
  </sheetViews>
  <sheetFormatPr defaultRowHeight="15" x14ac:dyDescent="0.25"/>
  <cols>
    <col min="4" max="4" width="22.7109375" customWidth="1"/>
    <col min="5" max="5" width="21.7109375" customWidth="1"/>
    <col min="6" max="6" width="19.7109375" customWidth="1"/>
    <col min="7" max="7" width="19.28515625" customWidth="1"/>
    <col min="8" max="8" width="18.42578125" customWidth="1"/>
    <col min="9" max="9" width="10.28515625" bestFit="1" customWidth="1"/>
  </cols>
  <sheetData>
    <row r="2" spans="3:9" x14ac:dyDescent="0.25">
      <c r="C2" s="1" t="s">
        <v>312</v>
      </c>
    </row>
    <row r="4" spans="3:9" x14ac:dyDescent="0.25">
      <c r="C4" s="283" t="s">
        <v>193</v>
      </c>
      <c r="D4" s="283" t="s">
        <v>188</v>
      </c>
      <c r="E4" s="292" t="s">
        <v>187</v>
      </c>
      <c r="F4" s="293"/>
      <c r="G4" s="283" t="s">
        <v>194</v>
      </c>
      <c r="H4" s="283" t="s">
        <v>195</v>
      </c>
    </row>
    <row r="5" spans="3:9" x14ac:dyDescent="0.25">
      <c r="C5" s="284"/>
      <c r="D5" s="284"/>
      <c r="E5" s="96" t="s">
        <v>310</v>
      </c>
      <c r="F5" s="96" t="s">
        <v>5</v>
      </c>
      <c r="G5" s="284"/>
      <c r="H5" s="284"/>
    </row>
    <row r="6" spans="3:9" x14ac:dyDescent="0.25">
      <c r="C6" s="24">
        <v>0</v>
      </c>
      <c r="D6" s="128">
        <f>'Rataan Biaya Investasi'!E18</f>
        <v>3783888</v>
      </c>
      <c r="E6" s="24"/>
      <c r="F6" s="24"/>
      <c r="G6" s="128">
        <f>-D6</f>
        <v>-3783888</v>
      </c>
      <c r="H6" s="128">
        <f>G6</f>
        <v>-3783888</v>
      </c>
    </row>
    <row r="7" spans="3:9" x14ac:dyDescent="0.25">
      <c r="C7" s="24">
        <v>2020</v>
      </c>
      <c r="D7" s="24"/>
      <c r="E7" s="179">
        <f>'Cash Flow Kelonosewandono'!D5</f>
        <v>1337583.6939000001</v>
      </c>
      <c r="F7" s="128">
        <f>'Cash Flow Kelonosewandono'!E5</f>
        <v>419722.08</v>
      </c>
      <c r="G7" s="128">
        <f>SUM(E7:F7)</f>
        <v>1757305.7739000001</v>
      </c>
      <c r="H7" s="128">
        <f>H6+G7</f>
        <v>-2026582.2260999999</v>
      </c>
    </row>
    <row r="8" spans="3:9" x14ac:dyDescent="0.25">
      <c r="C8" s="24">
        <v>2021</v>
      </c>
      <c r="D8" s="24"/>
      <c r="E8" s="179">
        <f>'Cash Flow Kelonosewandono'!D6</f>
        <v>1460448.1953450001</v>
      </c>
      <c r="F8" s="128">
        <f>'Cash Flow Kelonosewandono'!E6</f>
        <v>419722.08</v>
      </c>
      <c r="G8" s="128">
        <f>SUM(E8:F8)</f>
        <v>1880170.2753450002</v>
      </c>
      <c r="H8" s="128">
        <f>H7+G8</f>
        <v>-146411.95075499965</v>
      </c>
    </row>
    <row r="9" spans="3:9" x14ac:dyDescent="0.25">
      <c r="C9" s="24">
        <v>2022</v>
      </c>
      <c r="D9" s="24"/>
      <c r="E9" s="179">
        <f>'Cash Flow Kelonosewandono'!D7</f>
        <v>1591913.2118911499</v>
      </c>
      <c r="F9" s="128">
        <f>'Cash Flow Kelonosewandono'!E7</f>
        <v>419722.08</v>
      </c>
      <c r="G9" s="128">
        <f>SUM(E9:F9)</f>
        <v>2011635.2918911499</v>
      </c>
      <c r="H9" s="128">
        <f>H8+G9</f>
        <v>1865223.3411361503</v>
      </c>
      <c r="I9" s="104"/>
    </row>
    <row r="10" spans="3:9" x14ac:dyDescent="0.25">
      <c r="C10" s="24">
        <v>2023</v>
      </c>
      <c r="D10" s="40"/>
      <c r="E10" s="179">
        <f>'Cash Flow Kelonosewandono'!D8</f>
        <v>1732580.7795955304</v>
      </c>
      <c r="F10" s="128">
        <f>'Cash Flow Kelonosewandono'!E8</f>
        <v>419722.08</v>
      </c>
      <c r="G10" s="128">
        <f>SUM(E10:F10)</f>
        <v>2152302.8595955302</v>
      </c>
      <c r="H10" s="128">
        <f>H9+G10</f>
        <v>4017526.2007316807</v>
      </c>
    </row>
    <row r="11" spans="3:9" x14ac:dyDescent="0.25">
      <c r="C11" s="24">
        <v>2024</v>
      </c>
      <c r="D11" s="40"/>
      <c r="E11" s="179">
        <f>'Cash Flow Kelonosewandono'!D9</f>
        <v>1883095.077039218</v>
      </c>
      <c r="F11" s="128">
        <f>'Cash Flow Kelonosewandono'!E9</f>
        <v>419722.08</v>
      </c>
      <c r="G11" s="128">
        <f>SUM(E11:F11)</f>
        <v>2302817.1570392181</v>
      </c>
      <c r="H11" s="128">
        <f>H10+G11</f>
        <v>6320343.3577708993</v>
      </c>
    </row>
    <row r="12" spans="3:9" x14ac:dyDescent="0.25">
      <c r="C12" s="24">
        <v>2025</v>
      </c>
      <c r="D12" s="40"/>
      <c r="E12" s="179">
        <f>'Cash Flow Kelonosewandono'!D10</f>
        <v>2044145.3753039623</v>
      </c>
      <c r="F12" s="128">
        <f>'Cash Flow Kelonosewandono'!E10</f>
        <v>419722.08</v>
      </c>
      <c r="G12" s="128">
        <f t="shared" ref="G12:G17" si="0">SUM(E12:F12)</f>
        <v>2463867.4553039623</v>
      </c>
      <c r="H12" s="128">
        <f t="shared" ref="H12:H17" si="1">H11+G12</f>
        <v>8784210.8130748607</v>
      </c>
    </row>
    <row r="13" spans="3:9" x14ac:dyDescent="0.25">
      <c r="C13" s="24">
        <v>2026</v>
      </c>
      <c r="D13" s="40"/>
      <c r="E13" s="179">
        <f>'Cash Flow Kelonosewandono'!D11</f>
        <v>2216469.1944472399</v>
      </c>
      <c r="F13" s="128">
        <f>'Cash Flow Kelonosewandono'!E11</f>
        <v>419722.08</v>
      </c>
      <c r="G13" s="128">
        <f t="shared" si="0"/>
        <v>2636191.2744472399</v>
      </c>
      <c r="H13" s="128">
        <f t="shared" si="1"/>
        <v>11420402.087522101</v>
      </c>
    </row>
    <row r="14" spans="3:9" x14ac:dyDescent="0.25">
      <c r="C14" s="24">
        <v>2027</v>
      </c>
      <c r="D14" s="40"/>
      <c r="E14" s="179">
        <f>'Cash Flow Kelonosewandono'!D12</f>
        <v>2400855.6809305474</v>
      </c>
      <c r="F14" s="128">
        <f>'Cash Flow Kelonosewandono'!E12</f>
        <v>419722.08</v>
      </c>
      <c r="G14" s="128">
        <f t="shared" si="0"/>
        <v>2820577.7609305475</v>
      </c>
      <c r="H14" s="128">
        <f t="shared" si="1"/>
        <v>14240979.848452648</v>
      </c>
    </row>
    <row r="15" spans="3:9" x14ac:dyDescent="0.25">
      <c r="C15" s="24">
        <v>2028</v>
      </c>
      <c r="D15" s="40"/>
      <c r="E15" s="179">
        <f>'Cash Flow Kelonosewandono'!D13</f>
        <v>2598149.2214676859</v>
      </c>
      <c r="F15" s="128">
        <f>'Cash Flow Kelonosewandono'!E13</f>
        <v>419722.08</v>
      </c>
      <c r="G15" s="128">
        <f t="shared" si="0"/>
        <v>3017871.301467686</v>
      </c>
      <c r="H15" s="128">
        <f t="shared" si="1"/>
        <v>17258851.149920333</v>
      </c>
    </row>
    <row r="16" spans="3:9" x14ac:dyDescent="0.25">
      <c r="C16" s="24">
        <v>2029</v>
      </c>
      <c r="D16" s="40"/>
      <c r="E16" s="179">
        <f>'Cash Flow Kelonosewandono'!D14</f>
        <v>2809253.3098424235</v>
      </c>
      <c r="F16" s="128">
        <f>'Cash Flow Kelonosewandono'!E14</f>
        <v>419722.08</v>
      </c>
      <c r="G16" s="128">
        <f t="shared" si="0"/>
        <v>3228975.3898424236</v>
      </c>
      <c r="H16" s="128">
        <f t="shared" si="1"/>
        <v>20487826.539762758</v>
      </c>
    </row>
    <row r="17" spans="3:11" x14ac:dyDescent="0.25">
      <c r="C17" s="21">
        <v>2030</v>
      </c>
      <c r="D17" s="2"/>
      <c r="E17" s="179">
        <f>'Cash Flow Kelonosewandono'!D15</f>
        <v>3035134.6844033934</v>
      </c>
      <c r="F17" s="128">
        <f>'Cash Flow Kelonosewandono'!E15</f>
        <v>419722.08</v>
      </c>
      <c r="G17" s="128">
        <f t="shared" si="0"/>
        <v>3454856.7644033935</v>
      </c>
      <c r="H17" s="128">
        <f t="shared" si="1"/>
        <v>23942683.304166153</v>
      </c>
    </row>
    <row r="18" spans="3:11" x14ac:dyDescent="0.25">
      <c r="D18" t="s">
        <v>313</v>
      </c>
    </row>
    <row r="20" spans="3:11" x14ac:dyDescent="0.25">
      <c r="E20" s="168" t="s">
        <v>197</v>
      </c>
      <c r="F20" s="169">
        <f>2+H8/G9+1</f>
        <v>2.9272174477425494</v>
      </c>
    </row>
    <row r="21" spans="3:11" x14ac:dyDescent="0.25">
      <c r="F21">
        <v>2</v>
      </c>
      <c r="G21" t="s">
        <v>280</v>
      </c>
      <c r="H21">
        <f>ROUNDUP(0.95*12,0)</f>
        <v>12</v>
      </c>
      <c r="I21" t="s">
        <v>199</v>
      </c>
      <c r="J21" s="204">
        <f>ROUNDDOWN(0.4*30,0)</f>
        <v>12</v>
      </c>
      <c r="K21" t="s">
        <v>200</v>
      </c>
    </row>
    <row r="22" spans="3:11" x14ac:dyDescent="0.25">
      <c r="E22" s="170" t="s">
        <v>201</v>
      </c>
      <c r="F22" s="171">
        <f>IRR(G6:G17)</f>
        <v>0.52492303353580971</v>
      </c>
    </row>
    <row r="24" spans="3:11" x14ac:dyDescent="0.25">
      <c r="E24" s="168" t="s">
        <v>202</v>
      </c>
      <c r="F24" s="205">
        <f>NPV(6%,G7:G17)+G6</f>
        <v>15331028.965391554</v>
      </c>
    </row>
    <row r="26" spans="3:11" x14ac:dyDescent="0.25">
      <c r="C26" s="290" t="s">
        <v>291</v>
      </c>
      <c r="D26" s="285" t="s">
        <v>292</v>
      </c>
      <c r="E26" s="285" t="s">
        <v>293</v>
      </c>
      <c r="F26" s="191" t="s">
        <v>298</v>
      </c>
      <c r="G26" s="285" t="s">
        <v>294</v>
      </c>
      <c r="H26" s="285" t="s">
        <v>295</v>
      </c>
    </row>
    <row r="27" spans="3:11" x14ac:dyDescent="0.25">
      <c r="C27" s="291"/>
      <c r="D27" s="286"/>
      <c r="E27" s="286"/>
      <c r="F27" s="192">
        <v>0.06</v>
      </c>
      <c r="G27" s="286"/>
      <c r="H27" s="286"/>
    </row>
    <row r="28" spans="3:11" x14ac:dyDescent="0.25">
      <c r="C28" s="188">
        <v>2020</v>
      </c>
      <c r="D28" s="189">
        <f>'Rugi Laba Kelonosewandono'!D8</f>
        <v>1655694.78</v>
      </c>
      <c r="E28" s="189">
        <f>'Rugi Laba Kelonosewandono'!D6</f>
        <v>3000000</v>
      </c>
      <c r="F28" s="190">
        <v>0.94299999999999995</v>
      </c>
      <c r="G28" s="189">
        <f>D28*F28</f>
        <v>1561320.1775399998</v>
      </c>
      <c r="H28" s="189">
        <f>E28*F28</f>
        <v>2829000</v>
      </c>
    </row>
    <row r="29" spans="3:11" x14ac:dyDescent="0.25">
      <c r="C29" s="3">
        <v>2021</v>
      </c>
      <c r="D29" s="90">
        <f>'Rugi Laba Kelonosewandono'!E8</f>
        <v>1742212.8689999999</v>
      </c>
      <c r="E29" s="90">
        <f>'Rugi Laba Kelonosewandono'!E6</f>
        <v>3210000</v>
      </c>
      <c r="F29" s="184">
        <v>0.89</v>
      </c>
      <c r="G29" s="189">
        <f t="shared" ref="G29:G38" si="2">D29*F29</f>
        <v>1550569.4534100001</v>
      </c>
      <c r="H29" s="189">
        <f t="shared" ref="H29:H38" si="3">E29*F29</f>
        <v>2856900</v>
      </c>
    </row>
    <row r="30" spans="3:11" x14ac:dyDescent="0.25">
      <c r="C30" s="3">
        <v>2022</v>
      </c>
      <c r="D30" s="90">
        <f>'Rugi Laba Kelonosewandono'!F8</f>
        <v>1834787.2242300001</v>
      </c>
      <c r="E30" s="90">
        <f>'Rugi Laba Kelonosewandono'!F6</f>
        <v>3434700</v>
      </c>
      <c r="F30" s="184">
        <v>0.84</v>
      </c>
      <c r="G30" s="189">
        <f t="shared" si="2"/>
        <v>1541221.2683532001</v>
      </c>
      <c r="H30" s="189">
        <f t="shared" si="3"/>
        <v>2885148</v>
      </c>
    </row>
    <row r="31" spans="3:11" x14ac:dyDescent="0.25">
      <c r="C31" s="3">
        <v>2023</v>
      </c>
      <c r="D31" s="90">
        <f>'Rugi Laba Kelonosewandono'!G8</f>
        <v>1933841.7843261003</v>
      </c>
      <c r="E31" s="90">
        <f>'Rugi Laba Kelonosewandono'!G6</f>
        <v>3675129</v>
      </c>
      <c r="F31" s="184">
        <v>0.79200000000000004</v>
      </c>
      <c r="G31" s="189">
        <f t="shared" si="2"/>
        <v>1531602.6931862715</v>
      </c>
      <c r="H31" s="189">
        <f t="shared" si="3"/>
        <v>2910702.1680000001</v>
      </c>
    </row>
    <row r="32" spans="3:11" x14ac:dyDescent="0.25">
      <c r="C32" s="3">
        <v>2024</v>
      </c>
      <c r="D32" s="90">
        <f>'Rugi Laba Kelonosewandono'!H8</f>
        <v>2039830.163628927</v>
      </c>
      <c r="E32" s="90">
        <f>'Rugi Laba Kelonosewandono'!H6</f>
        <v>3932388.0300000003</v>
      </c>
      <c r="F32" s="184">
        <v>0.747</v>
      </c>
      <c r="G32" s="189">
        <f t="shared" si="2"/>
        <v>1523753.1322308085</v>
      </c>
      <c r="H32" s="189">
        <f t="shared" si="3"/>
        <v>2937493.8584100003</v>
      </c>
    </row>
    <row r="33" spans="3:8" x14ac:dyDescent="0.25">
      <c r="C33" s="24">
        <v>2025</v>
      </c>
      <c r="D33" s="90">
        <f>'Rugi Laba Kelonosewandono'!I8</f>
        <v>2153237.729482952</v>
      </c>
      <c r="E33" s="90">
        <f>'Rugi Laba Kelonosewandono'!I6</f>
        <v>4207655.1920999996</v>
      </c>
      <c r="F33" s="184">
        <v>0.70499999999999996</v>
      </c>
      <c r="G33" s="189">
        <f t="shared" si="2"/>
        <v>1518032.599285481</v>
      </c>
      <c r="H33" s="189">
        <f t="shared" si="3"/>
        <v>2966396.9104304994</v>
      </c>
    </row>
    <row r="34" spans="3:8" x14ac:dyDescent="0.25">
      <c r="C34" s="24">
        <v>2026</v>
      </c>
      <c r="D34" s="90">
        <f>'Rugi Laba Kelonosewandono'!J8</f>
        <v>2274583.8249467588</v>
      </c>
      <c r="E34" s="90">
        <f>'Rugi Laba Kelonosewandono'!J6</f>
        <v>4502191.0555469999</v>
      </c>
      <c r="F34" s="184">
        <v>0.66500000000000004</v>
      </c>
      <c r="G34" s="189">
        <f t="shared" si="2"/>
        <v>1512598.2435895947</v>
      </c>
      <c r="H34" s="189">
        <f t="shared" si="3"/>
        <v>2993957.051938755</v>
      </c>
    </row>
    <row r="35" spans="3:8" x14ac:dyDescent="0.25">
      <c r="C35" s="24">
        <v>2027</v>
      </c>
      <c r="D35" s="90">
        <f>'Rugi Laba Kelonosewandono'!K8</f>
        <v>2404424.1470930316</v>
      </c>
      <c r="E35" s="90">
        <f>'Rugi Laba Kelonosewandono'!K6</f>
        <v>4817344.4294352904</v>
      </c>
      <c r="F35" s="184">
        <v>0.627</v>
      </c>
      <c r="G35" s="189">
        <f t="shared" si="2"/>
        <v>1507573.9402273309</v>
      </c>
      <c r="H35" s="189">
        <f t="shared" si="3"/>
        <v>3020474.9572559269</v>
      </c>
    </row>
    <row r="36" spans="3:8" x14ac:dyDescent="0.25">
      <c r="C36" s="24">
        <v>2028</v>
      </c>
      <c r="D36" s="90">
        <f>'Rugi Laba Kelonosewandono'!L8</f>
        <v>2543353.2917895438</v>
      </c>
      <c r="E36" s="90">
        <f>'Rugi Laba Kelonosewandono'!L6</f>
        <v>5154558.5394957606</v>
      </c>
      <c r="F36" s="184">
        <v>0.59199999999999997</v>
      </c>
      <c r="G36" s="189">
        <f t="shared" si="2"/>
        <v>1505665.1487394099</v>
      </c>
      <c r="H36" s="189">
        <f t="shared" si="3"/>
        <v>3051498.65538149</v>
      </c>
    </row>
    <row r="37" spans="3:8" x14ac:dyDescent="0.25">
      <c r="C37" s="24">
        <v>2029</v>
      </c>
      <c r="D37" s="90">
        <f>'Rugi Laba Kelonosewandono'!M8</f>
        <v>2692007.4766148124</v>
      </c>
      <c r="E37" s="90">
        <f>'Rugi Laba Kelonosewandono'!M6</f>
        <v>5515377.637260464</v>
      </c>
      <c r="F37" s="184">
        <v>0.55800000000000005</v>
      </c>
      <c r="G37" s="189">
        <f t="shared" si="2"/>
        <v>1502140.1719510655</v>
      </c>
      <c r="H37" s="189">
        <f t="shared" si="3"/>
        <v>3077580.721591339</v>
      </c>
    </row>
    <row r="38" spans="3:8" x14ac:dyDescent="0.25">
      <c r="C38" s="21">
        <v>2030</v>
      </c>
      <c r="D38" s="90">
        <f>'Rugi Laba Kelonosewandono'!N8</f>
        <v>2851067.4543778487</v>
      </c>
      <c r="E38" s="90">
        <f>'Rugi Laba Kelonosewandono'!N6</f>
        <v>5901454.0718686963</v>
      </c>
      <c r="F38" s="184">
        <v>0.52700000000000002</v>
      </c>
      <c r="G38" s="189">
        <f t="shared" si="2"/>
        <v>1502512.5484571264</v>
      </c>
      <c r="H38" s="189">
        <f t="shared" si="3"/>
        <v>3110066.2958748029</v>
      </c>
    </row>
    <row r="39" spans="3:8" x14ac:dyDescent="0.25">
      <c r="C39" s="287" t="s">
        <v>299</v>
      </c>
      <c r="D39" s="288"/>
      <c r="E39" s="288"/>
      <c r="F39" s="289"/>
      <c r="G39" s="200">
        <f>'Rataan Biaya Investasi'!E18</f>
        <v>3783888</v>
      </c>
      <c r="H39" s="196"/>
    </row>
    <row r="40" spans="3:8" x14ac:dyDescent="0.25">
      <c r="C40" s="197"/>
      <c r="D40" s="198"/>
      <c r="E40" s="198"/>
      <c r="F40" s="201" t="s">
        <v>1</v>
      </c>
      <c r="G40" s="199">
        <f>SUM(G28:G39)</f>
        <v>20540877.376970291</v>
      </c>
      <c r="H40" s="199">
        <f>SUM(H28:H39)</f>
        <v>32639218.618882813</v>
      </c>
    </row>
    <row r="41" spans="3:8" x14ac:dyDescent="0.25">
      <c r="C41" s="194"/>
      <c r="D41" s="194"/>
      <c r="E41" s="194"/>
      <c r="F41" s="194"/>
      <c r="G41" s="186"/>
      <c r="H41" s="195"/>
    </row>
    <row r="42" spans="3:8" x14ac:dyDescent="0.25">
      <c r="D42" s="32"/>
      <c r="E42" s="126" t="s">
        <v>296</v>
      </c>
      <c r="F42" s="32" t="s">
        <v>297</v>
      </c>
    </row>
    <row r="43" spans="3:8" x14ac:dyDescent="0.25">
      <c r="D43" s="32"/>
      <c r="E43" s="170" t="s">
        <v>300</v>
      </c>
      <c r="F43" s="187">
        <f>H40/G40</f>
        <v>1.5889885334438905</v>
      </c>
    </row>
  </sheetData>
  <mergeCells count="11">
    <mergeCell ref="C39:F39"/>
    <mergeCell ref="C4:C5"/>
    <mergeCell ref="D4:D5"/>
    <mergeCell ref="E4:F4"/>
    <mergeCell ref="G4:G5"/>
    <mergeCell ref="H4:H5"/>
    <mergeCell ref="D26:D27"/>
    <mergeCell ref="E26:E27"/>
    <mergeCell ref="H26:H27"/>
    <mergeCell ref="C26:C27"/>
    <mergeCell ref="G26:G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H20"/>
  <sheetViews>
    <sheetView showGridLines="0" workbookViewId="0">
      <selection activeCell="A18" sqref="A18"/>
    </sheetView>
  </sheetViews>
  <sheetFormatPr defaultRowHeight="15" x14ac:dyDescent="0.25"/>
  <cols>
    <col min="1" max="1" width="7.7109375" customWidth="1"/>
    <col min="2" max="2" width="22.140625" customWidth="1"/>
    <col min="3" max="3" width="10.42578125" customWidth="1"/>
    <col min="4" max="4" width="18.42578125" customWidth="1"/>
    <col min="5" max="5" width="18.5703125" customWidth="1"/>
    <col min="6" max="6" width="7.5703125" customWidth="1"/>
    <col min="7" max="7" width="19.28515625" customWidth="1"/>
    <col min="8" max="8" width="15.5703125" customWidth="1"/>
    <col min="9" max="9" width="7.7109375" customWidth="1"/>
    <col min="10" max="10" width="20.28515625" customWidth="1"/>
    <col min="11" max="11" width="16.7109375" customWidth="1"/>
    <col min="12" max="12" width="8.7109375" customWidth="1"/>
    <col min="13" max="13" width="17.42578125" customWidth="1"/>
    <col min="14" max="14" width="17" customWidth="1"/>
    <col min="15" max="15" width="9.28515625" customWidth="1"/>
    <col min="16" max="16" width="15.5703125" customWidth="1"/>
    <col min="17" max="17" width="16.42578125" customWidth="1"/>
    <col min="19" max="19" width="16.28515625" customWidth="1"/>
    <col min="20" max="20" width="15.42578125" customWidth="1"/>
    <col min="21" max="21" width="10" customWidth="1"/>
    <col min="22" max="22" width="20.85546875" customWidth="1"/>
    <col min="23" max="23" width="15.28515625" customWidth="1"/>
    <col min="24" max="24" width="9.140625" customWidth="1"/>
    <col min="25" max="25" width="14.140625" customWidth="1"/>
    <col min="26" max="26" width="17" customWidth="1"/>
    <col min="27" max="27" width="9" customWidth="1"/>
    <col min="28" max="28" width="17.28515625" customWidth="1"/>
    <col min="29" max="29" width="14.28515625" style="30" customWidth="1"/>
    <col min="30" max="30" width="17.5703125" customWidth="1"/>
    <col min="31" max="31" width="18.140625" customWidth="1"/>
    <col min="32" max="32" width="12.140625" customWidth="1"/>
    <col min="33" max="34" width="18.85546875" style="30" customWidth="1"/>
    <col min="35" max="35" width="12.5703125" customWidth="1"/>
  </cols>
  <sheetData>
    <row r="2" spans="1:34" ht="28.5" customHeight="1" x14ac:dyDescent="0.25">
      <c r="B2" s="15" t="s">
        <v>122</v>
      </c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34" ht="44.25" customHeight="1" x14ac:dyDescent="0.25">
      <c r="A4" s="35"/>
      <c r="B4" s="221" t="s">
        <v>51</v>
      </c>
      <c r="C4" s="221" t="s">
        <v>133</v>
      </c>
      <c r="D4" s="221"/>
      <c r="E4" s="221"/>
      <c r="F4" s="221" t="s">
        <v>43</v>
      </c>
      <c r="G4" s="221"/>
      <c r="H4" s="221"/>
      <c r="I4" s="221" t="s">
        <v>155</v>
      </c>
      <c r="J4" s="221"/>
      <c r="K4" s="221"/>
      <c r="L4" s="221" t="s">
        <v>81</v>
      </c>
      <c r="M4" s="221"/>
      <c r="N4" s="221"/>
      <c r="O4" s="226" t="s">
        <v>87</v>
      </c>
      <c r="P4" s="227"/>
      <c r="Q4" s="228"/>
      <c r="R4" s="223" t="s">
        <v>86</v>
      </c>
      <c r="S4" s="224"/>
      <c r="T4" s="225"/>
      <c r="U4" s="223" t="s">
        <v>88</v>
      </c>
      <c r="V4" s="224"/>
      <c r="W4" s="225"/>
      <c r="X4" s="223" t="s">
        <v>89</v>
      </c>
      <c r="Y4" s="224"/>
      <c r="Z4" s="225"/>
      <c r="AA4" s="223" t="s">
        <v>82</v>
      </c>
      <c r="AB4" s="224"/>
      <c r="AC4" s="225"/>
      <c r="AG4"/>
      <c r="AH4"/>
    </row>
    <row r="5" spans="1:34" ht="30.75" customHeight="1" x14ac:dyDescent="0.25">
      <c r="A5" s="35"/>
      <c r="B5" s="221"/>
      <c r="C5" s="50" t="s">
        <v>1</v>
      </c>
      <c r="D5" s="50" t="s">
        <v>153</v>
      </c>
      <c r="E5" s="50" t="s">
        <v>76</v>
      </c>
      <c r="F5" s="50" t="s">
        <v>1</v>
      </c>
      <c r="G5" s="50" t="s">
        <v>153</v>
      </c>
      <c r="H5" s="50" t="s">
        <v>76</v>
      </c>
      <c r="I5" s="50" t="s">
        <v>1</v>
      </c>
      <c r="J5" s="50" t="s">
        <v>153</v>
      </c>
      <c r="K5" s="50" t="s">
        <v>76</v>
      </c>
      <c r="L5" s="50" t="s">
        <v>83</v>
      </c>
      <c r="M5" s="50" t="s">
        <v>153</v>
      </c>
      <c r="N5" s="50" t="s">
        <v>76</v>
      </c>
      <c r="O5" s="50" t="s">
        <v>1</v>
      </c>
      <c r="P5" s="50" t="s">
        <v>153</v>
      </c>
      <c r="Q5" s="50" t="s">
        <v>76</v>
      </c>
      <c r="R5" s="50" t="s">
        <v>1</v>
      </c>
      <c r="S5" s="50" t="s">
        <v>153</v>
      </c>
      <c r="T5" s="50" t="s">
        <v>76</v>
      </c>
      <c r="U5" s="50" t="s">
        <v>1</v>
      </c>
      <c r="V5" s="50" t="s">
        <v>153</v>
      </c>
      <c r="W5" s="50" t="s">
        <v>76</v>
      </c>
      <c r="X5" s="50" t="s">
        <v>1</v>
      </c>
      <c r="Y5" s="54" t="s">
        <v>153</v>
      </c>
      <c r="Z5" s="50" t="s">
        <v>76</v>
      </c>
      <c r="AA5" s="50" t="s">
        <v>1</v>
      </c>
      <c r="AB5" s="54" t="s">
        <v>153</v>
      </c>
      <c r="AC5" s="50" t="s">
        <v>76</v>
      </c>
      <c r="AG5"/>
      <c r="AH5"/>
    </row>
    <row r="6" spans="1:34" x14ac:dyDescent="0.25">
      <c r="A6" s="35"/>
      <c r="B6" s="59" t="s">
        <v>57</v>
      </c>
      <c r="C6" s="31">
        <v>1</v>
      </c>
      <c r="D6" s="70">
        <v>1300000</v>
      </c>
      <c r="E6" s="31">
        <v>8</v>
      </c>
      <c r="F6" s="31">
        <v>1</v>
      </c>
      <c r="G6" s="69">
        <v>300000</v>
      </c>
      <c r="H6" s="31">
        <v>8</v>
      </c>
      <c r="I6" s="31">
        <v>1</v>
      </c>
      <c r="J6" s="69">
        <v>300000</v>
      </c>
      <c r="K6" s="31">
        <v>8</v>
      </c>
      <c r="L6" s="31">
        <v>1</v>
      </c>
      <c r="M6" s="69">
        <v>350000</v>
      </c>
      <c r="N6" s="31">
        <v>5</v>
      </c>
      <c r="O6" s="29">
        <v>2</v>
      </c>
      <c r="P6" s="69">
        <v>50000</v>
      </c>
      <c r="Q6" s="36">
        <v>5</v>
      </c>
      <c r="R6" s="36">
        <v>1</v>
      </c>
      <c r="S6" s="69">
        <v>60000</v>
      </c>
      <c r="T6" s="29">
        <v>5</v>
      </c>
      <c r="U6" s="36">
        <v>1</v>
      </c>
      <c r="V6" s="69">
        <v>150000</v>
      </c>
      <c r="W6" s="37">
        <v>5</v>
      </c>
      <c r="X6" s="36">
        <v>4</v>
      </c>
      <c r="Y6" s="69">
        <v>20000</v>
      </c>
      <c r="Z6" s="29">
        <v>5</v>
      </c>
      <c r="AA6" s="36">
        <v>2</v>
      </c>
      <c r="AB6" s="69">
        <v>25000</v>
      </c>
      <c r="AC6" s="29">
        <v>5</v>
      </c>
      <c r="AG6"/>
      <c r="AH6"/>
    </row>
    <row r="7" spans="1:34" x14ac:dyDescent="0.25">
      <c r="A7" s="35"/>
      <c r="B7" s="59" t="s">
        <v>60</v>
      </c>
      <c r="C7" s="31">
        <v>1</v>
      </c>
      <c r="D7" s="71">
        <v>1300000</v>
      </c>
      <c r="E7" s="31">
        <v>8</v>
      </c>
      <c r="F7" s="31">
        <v>1</v>
      </c>
      <c r="G7" s="69">
        <v>250000</v>
      </c>
      <c r="H7" s="31">
        <v>8</v>
      </c>
      <c r="I7" s="31">
        <v>1</v>
      </c>
      <c r="J7" s="69">
        <v>300000</v>
      </c>
      <c r="K7" s="31">
        <v>8</v>
      </c>
      <c r="L7" s="31">
        <v>1</v>
      </c>
      <c r="M7" s="69">
        <v>350000</v>
      </c>
      <c r="N7" s="31">
        <v>5</v>
      </c>
      <c r="O7" s="29">
        <v>1</v>
      </c>
      <c r="P7" s="69">
        <v>45000</v>
      </c>
      <c r="Q7" s="36">
        <v>5</v>
      </c>
      <c r="R7" s="36">
        <v>1</v>
      </c>
      <c r="S7" s="69">
        <v>50000</v>
      </c>
      <c r="T7" s="29">
        <v>5</v>
      </c>
      <c r="U7" s="36">
        <v>1</v>
      </c>
      <c r="V7" s="69">
        <v>155000</v>
      </c>
      <c r="W7" s="37">
        <v>5</v>
      </c>
      <c r="X7" s="36">
        <v>2</v>
      </c>
      <c r="Y7" s="69">
        <v>15000</v>
      </c>
      <c r="Z7" s="29">
        <v>5</v>
      </c>
      <c r="AA7" s="36">
        <v>1</v>
      </c>
      <c r="AB7" s="69">
        <v>25000</v>
      </c>
      <c r="AC7" s="29">
        <v>5</v>
      </c>
      <c r="AG7"/>
      <c r="AH7"/>
    </row>
    <row r="8" spans="1:34" x14ac:dyDescent="0.25">
      <c r="A8" s="35"/>
      <c r="B8" s="59" t="s">
        <v>62</v>
      </c>
      <c r="C8" s="31">
        <v>1</v>
      </c>
      <c r="D8" s="71">
        <v>1200000</v>
      </c>
      <c r="E8" s="31">
        <v>8</v>
      </c>
      <c r="F8" s="31">
        <v>1</v>
      </c>
      <c r="G8" s="69">
        <v>250000</v>
      </c>
      <c r="H8" s="31">
        <v>8</v>
      </c>
      <c r="I8" s="31">
        <v>1</v>
      </c>
      <c r="J8" s="69">
        <v>300000</v>
      </c>
      <c r="K8" s="31">
        <v>8</v>
      </c>
      <c r="L8" s="31">
        <v>1</v>
      </c>
      <c r="M8" s="69">
        <v>300000</v>
      </c>
      <c r="N8" s="31">
        <v>5</v>
      </c>
      <c r="O8" s="29">
        <v>1</v>
      </c>
      <c r="P8" s="69">
        <v>45000</v>
      </c>
      <c r="Q8" s="36">
        <v>5</v>
      </c>
      <c r="R8" s="36">
        <v>1</v>
      </c>
      <c r="S8" s="69">
        <v>50000</v>
      </c>
      <c r="T8" s="29">
        <v>5</v>
      </c>
      <c r="U8" s="36">
        <v>1</v>
      </c>
      <c r="V8" s="69">
        <v>150000</v>
      </c>
      <c r="W8" s="37">
        <v>5</v>
      </c>
      <c r="X8" s="36">
        <v>2</v>
      </c>
      <c r="Y8" s="69">
        <v>20000</v>
      </c>
      <c r="Z8" s="29">
        <v>5</v>
      </c>
      <c r="AA8" s="36">
        <v>1</v>
      </c>
      <c r="AB8" s="69">
        <v>25000</v>
      </c>
      <c r="AC8" s="29">
        <v>5</v>
      </c>
      <c r="AG8"/>
      <c r="AH8"/>
    </row>
    <row r="9" spans="1:34" x14ac:dyDescent="0.25">
      <c r="A9" s="35"/>
      <c r="B9" s="23" t="s">
        <v>66</v>
      </c>
      <c r="C9" s="31">
        <v>1</v>
      </c>
      <c r="D9" s="71">
        <v>1200000</v>
      </c>
      <c r="E9" s="31">
        <v>8</v>
      </c>
      <c r="F9" s="31">
        <v>1</v>
      </c>
      <c r="G9" s="69">
        <v>300000</v>
      </c>
      <c r="H9" s="31">
        <v>8</v>
      </c>
      <c r="I9" s="31">
        <v>1</v>
      </c>
      <c r="J9" s="69">
        <v>1500000</v>
      </c>
      <c r="K9" s="31">
        <v>8</v>
      </c>
      <c r="L9" s="31">
        <v>1</v>
      </c>
      <c r="M9" s="69">
        <v>300000</v>
      </c>
      <c r="N9" s="31">
        <v>5</v>
      </c>
      <c r="O9" s="29">
        <v>2</v>
      </c>
      <c r="P9" s="69">
        <v>50000</v>
      </c>
      <c r="Q9" s="36">
        <v>5</v>
      </c>
      <c r="R9" s="36">
        <v>2</v>
      </c>
      <c r="S9" s="69">
        <v>60000</v>
      </c>
      <c r="T9" s="29">
        <v>5</v>
      </c>
      <c r="U9" s="36">
        <v>1</v>
      </c>
      <c r="V9" s="69">
        <v>150000</v>
      </c>
      <c r="W9" s="37">
        <v>5</v>
      </c>
      <c r="X9" s="36">
        <v>2</v>
      </c>
      <c r="Y9" s="69">
        <v>20000</v>
      </c>
      <c r="Z9" s="29">
        <v>5</v>
      </c>
      <c r="AA9" s="36">
        <v>2</v>
      </c>
      <c r="AB9" s="69">
        <v>30000</v>
      </c>
      <c r="AC9" s="29">
        <v>5</v>
      </c>
      <c r="AG9"/>
      <c r="AH9"/>
    </row>
    <row r="10" spans="1:34" x14ac:dyDescent="0.25">
      <c r="A10" s="35"/>
      <c r="B10" s="25" t="s">
        <v>70</v>
      </c>
      <c r="C10" s="31">
        <v>1</v>
      </c>
      <c r="D10" s="71">
        <v>1000000</v>
      </c>
      <c r="E10" s="31">
        <v>8</v>
      </c>
      <c r="F10" s="31">
        <v>1</v>
      </c>
      <c r="G10" s="69">
        <v>300000</v>
      </c>
      <c r="H10" s="31">
        <v>8</v>
      </c>
      <c r="I10" s="31">
        <v>1</v>
      </c>
      <c r="J10" s="69">
        <v>350000</v>
      </c>
      <c r="K10" s="31">
        <v>8</v>
      </c>
      <c r="L10" s="31">
        <v>1</v>
      </c>
      <c r="M10" s="69">
        <v>350000</v>
      </c>
      <c r="N10" s="31">
        <v>5</v>
      </c>
      <c r="O10" s="29">
        <v>2</v>
      </c>
      <c r="P10" s="69">
        <v>50000</v>
      </c>
      <c r="Q10" s="36">
        <v>5</v>
      </c>
      <c r="R10" s="36">
        <v>2</v>
      </c>
      <c r="S10" s="69">
        <v>55000</v>
      </c>
      <c r="T10" s="29">
        <v>5</v>
      </c>
      <c r="U10" s="37">
        <v>1</v>
      </c>
      <c r="V10" s="75">
        <v>200000</v>
      </c>
      <c r="W10" s="37">
        <v>5</v>
      </c>
      <c r="X10" s="36">
        <v>5</v>
      </c>
      <c r="Y10" s="69">
        <v>20000</v>
      </c>
      <c r="Z10" s="29">
        <v>5</v>
      </c>
      <c r="AA10" s="36">
        <v>2</v>
      </c>
      <c r="AB10" s="69">
        <v>20000</v>
      </c>
      <c r="AC10" s="29">
        <v>5</v>
      </c>
      <c r="AG10"/>
      <c r="AH10"/>
    </row>
    <row r="11" spans="1:34" x14ac:dyDescent="0.25">
      <c r="A11" s="35"/>
      <c r="B11" s="25" t="s">
        <v>71</v>
      </c>
      <c r="C11" s="31">
        <v>1</v>
      </c>
      <c r="D11" s="72">
        <v>200000</v>
      </c>
      <c r="E11" s="31">
        <v>8</v>
      </c>
      <c r="F11" s="31">
        <v>1</v>
      </c>
      <c r="G11" s="69">
        <v>250000</v>
      </c>
      <c r="H11" s="31">
        <v>8</v>
      </c>
      <c r="I11" s="31">
        <v>1</v>
      </c>
      <c r="J11" s="69">
        <v>350000</v>
      </c>
      <c r="K11" s="31">
        <v>8</v>
      </c>
      <c r="L11" s="31">
        <v>1</v>
      </c>
      <c r="M11" s="69">
        <v>350000</v>
      </c>
      <c r="N11" s="31">
        <v>5</v>
      </c>
      <c r="O11" s="29">
        <v>1</v>
      </c>
      <c r="P11" s="69">
        <v>50000</v>
      </c>
      <c r="Q11" s="36">
        <v>5</v>
      </c>
      <c r="R11" s="36">
        <v>1</v>
      </c>
      <c r="S11" s="69">
        <v>60000</v>
      </c>
      <c r="T11" s="29">
        <v>5</v>
      </c>
      <c r="U11" s="36">
        <v>1</v>
      </c>
      <c r="V11" s="69">
        <v>250000</v>
      </c>
      <c r="W11" s="37">
        <v>5</v>
      </c>
      <c r="X11" s="36">
        <v>2</v>
      </c>
      <c r="Y11" s="69">
        <v>25000</v>
      </c>
      <c r="Z11" s="29">
        <v>5</v>
      </c>
      <c r="AA11" s="36">
        <v>1</v>
      </c>
      <c r="AB11" s="69">
        <v>30000</v>
      </c>
      <c r="AC11" s="29">
        <v>5</v>
      </c>
      <c r="AG11"/>
      <c r="AH11"/>
    </row>
    <row r="12" spans="1:34" x14ac:dyDescent="0.25">
      <c r="A12" s="35"/>
      <c r="B12" s="25" t="s">
        <v>67</v>
      </c>
      <c r="C12" s="31">
        <v>1</v>
      </c>
      <c r="D12" s="71">
        <v>1500000</v>
      </c>
      <c r="E12" s="31">
        <v>8</v>
      </c>
      <c r="F12" s="31">
        <v>1</v>
      </c>
      <c r="G12" s="69">
        <v>250000</v>
      </c>
      <c r="H12" s="31">
        <v>8</v>
      </c>
      <c r="I12" s="31">
        <v>1</v>
      </c>
      <c r="J12" s="69">
        <v>1800000</v>
      </c>
      <c r="K12" s="31">
        <v>8</v>
      </c>
      <c r="L12" s="31">
        <v>1</v>
      </c>
      <c r="M12" s="69">
        <v>400000</v>
      </c>
      <c r="N12" s="31">
        <v>5</v>
      </c>
      <c r="O12" s="29">
        <v>2</v>
      </c>
      <c r="P12" s="69">
        <v>65000</v>
      </c>
      <c r="Q12" s="36">
        <v>5</v>
      </c>
      <c r="R12" s="36">
        <v>2</v>
      </c>
      <c r="S12" s="69">
        <v>70000</v>
      </c>
      <c r="T12" s="29">
        <v>5</v>
      </c>
      <c r="U12" s="36">
        <v>2</v>
      </c>
      <c r="V12" s="69">
        <v>250000</v>
      </c>
      <c r="W12" s="37">
        <v>5</v>
      </c>
      <c r="X12" s="36">
        <v>2</v>
      </c>
      <c r="Y12" s="69">
        <v>30000</v>
      </c>
      <c r="Z12" s="29">
        <v>5</v>
      </c>
      <c r="AA12" s="36">
        <v>2</v>
      </c>
      <c r="AB12" s="69">
        <v>25000</v>
      </c>
      <c r="AC12" s="29">
        <v>5</v>
      </c>
      <c r="AG12"/>
      <c r="AH12"/>
    </row>
    <row r="13" spans="1:34" x14ac:dyDescent="0.25">
      <c r="A13" s="35"/>
      <c r="B13" s="25" t="s">
        <v>69</v>
      </c>
      <c r="C13" s="31">
        <v>1</v>
      </c>
      <c r="D13" s="71">
        <v>1250000</v>
      </c>
      <c r="E13" s="31">
        <v>8</v>
      </c>
      <c r="F13" s="31">
        <v>1</v>
      </c>
      <c r="G13" s="69">
        <v>400000</v>
      </c>
      <c r="H13" s="31">
        <v>8</v>
      </c>
      <c r="I13" s="31">
        <v>1</v>
      </c>
      <c r="J13" s="69">
        <v>350000</v>
      </c>
      <c r="K13" s="31">
        <v>8</v>
      </c>
      <c r="L13" s="31">
        <v>1</v>
      </c>
      <c r="M13" s="69">
        <v>350000</v>
      </c>
      <c r="N13" s="31">
        <v>5</v>
      </c>
      <c r="O13" s="29">
        <v>2</v>
      </c>
      <c r="P13" s="69">
        <v>55000</v>
      </c>
      <c r="Q13" s="36">
        <v>5</v>
      </c>
      <c r="R13" s="36">
        <v>2</v>
      </c>
      <c r="S13" s="69">
        <v>65000</v>
      </c>
      <c r="T13" s="29">
        <v>5</v>
      </c>
      <c r="U13" s="36">
        <v>1</v>
      </c>
      <c r="V13" s="69">
        <v>300000</v>
      </c>
      <c r="W13" s="37">
        <v>5</v>
      </c>
      <c r="X13" s="36">
        <v>2</v>
      </c>
      <c r="Y13" s="69">
        <v>30000</v>
      </c>
      <c r="Z13" s="29">
        <v>5</v>
      </c>
      <c r="AA13" s="36">
        <v>2</v>
      </c>
      <c r="AB13" s="69">
        <v>30000</v>
      </c>
      <c r="AC13" s="29">
        <v>5</v>
      </c>
      <c r="AG13"/>
      <c r="AH13"/>
    </row>
    <row r="14" spans="1:34" x14ac:dyDescent="0.25">
      <c r="A14" s="35"/>
      <c r="B14" s="25" t="s">
        <v>72</v>
      </c>
      <c r="C14" s="31">
        <v>1</v>
      </c>
      <c r="D14" s="71">
        <v>7000000</v>
      </c>
      <c r="E14" s="31">
        <v>8</v>
      </c>
      <c r="F14" s="31">
        <v>1</v>
      </c>
      <c r="G14" s="69">
        <v>400000</v>
      </c>
      <c r="H14" s="31">
        <v>8</v>
      </c>
      <c r="I14" s="31">
        <v>1</v>
      </c>
      <c r="J14" s="69">
        <v>2000000</v>
      </c>
      <c r="K14" s="31">
        <v>8</v>
      </c>
      <c r="L14" s="31">
        <v>1</v>
      </c>
      <c r="M14" s="69">
        <v>350000</v>
      </c>
      <c r="N14" s="31">
        <v>5</v>
      </c>
      <c r="O14" s="29">
        <v>2</v>
      </c>
      <c r="P14" s="69">
        <v>60000</v>
      </c>
      <c r="Q14" s="36">
        <v>5</v>
      </c>
      <c r="R14" s="36">
        <v>2</v>
      </c>
      <c r="S14" s="69">
        <v>70000</v>
      </c>
      <c r="T14" s="29">
        <v>5</v>
      </c>
      <c r="U14" s="36">
        <v>2</v>
      </c>
      <c r="V14" s="69">
        <v>350000</v>
      </c>
      <c r="W14" s="37">
        <v>5</v>
      </c>
      <c r="X14" s="36">
        <v>4</v>
      </c>
      <c r="Y14" s="69">
        <v>20000</v>
      </c>
      <c r="Z14" s="29">
        <v>5</v>
      </c>
      <c r="AA14" s="36">
        <v>2</v>
      </c>
      <c r="AB14" s="69">
        <v>30000</v>
      </c>
      <c r="AC14" s="29">
        <v>5</v>
      </c>
      <c r="AG14"/>
      <c r="AH14"/>
    </row>
    <row r="15" spans="1:34" s="34" customFormat="1" x14ac:dyDescent="0.25">
      <c r="B15" s="58" t="s">
        <v>84</v>
      </c>
      <c r="C15" s="51">
        <v>1</v>
      </c>
      <c r="D15" s="73">
        <f>AVERAGE(D6:D14)</f>
        <v>1772222.2222222222</v>
      </c>
      <c r="E15" s="42">
        <v>8</v>
      </c>
      <c r="F15" s="51">
        <v>1</v>
      </c>
      <c r="G15" s="74">
        <f>AVERAGE(G6:G14)</f>
        <v>300000</v>
      </c>
      <c r="H15" s="51">
        <v>8</v>
      </c>
      <c r="I15" s="51">
        <v>1</v>
      </c>
      <c r="J15" s="74">
        <f>AVERAGE(J6:J14)</f>
        <v>805555.5555555555</v>
      </c>
      <c r="K15" s="51">
        <v>8</v>
      </c>
      <c r="L15" s="51">
        <f>AVERAGE(L6:L14)</f>
        <v>1</v>
      </c>
      <c r="M15" s="74">
        <f>AVERAGE(M6:M14)</f>
        <v>344444.44444444444</v>
      </c>
      <c r="N15" s="42">
        <v>5</v>
      </c>
      <c r="O15" s="60">
        <f>AVERAGE(O6:O14)</f>
        <v>1.6666666666666667</v>
      </c>
      <c r="P15" s="74">
        <f>AVERAGE(P6:P14)</f>
        <v>52222.222222222219</v>
      </c>
      <c r="Q15" s="61">
        <v>5</v>
      </c>
      <c r="R15" s="62">
        <f>AVERAGE(R6:R14)</f>
        <v>1.5555555555555556</v>
      </c>
      <c r="S15" s="74">
        <f>AVERAGE(S6:S14)</f>
        <v>60000</v>
      </c>
      <c r="T15" s="63">
        <v>5</v>
      </c>
      <c r="U15" s="61">
        <v>1</v>
      </c>
      <c r="V15" s="74">
        <f>AVERAGE(V6:V14)</f>
        <v>217222.22222222222</v>
      </c>
      <c r="W15" s="61">
        <v>5</v>
      </c>
      <c r="X15" s="62">
        <f>AVERAGE(X6:X14)</f>
        <v>2.7777777777777777</v>
      </c>
      <c r="Y15" s="74">
        <f>AVERAGE(Y6:Y14)</f>
        <v>22222.222222222223</v>
      </c>
      <c r="Z15" s="43">
        <v>5</v>
      </c>
      <c r="AA15" s="62">
        <f>AVERAGE(AA6:AA14)</f>
        <v>1.6666666666666667</v>
      </c>
      <c r="AB15" s="74">
        <f>AVERAGE(AB6:AB14)</f>
        <v>26666.666666666668</v>
      </c>
      <c r="AC15" s="43">
        <v>5</v>
      </c>
    </row>
    <row r="16" spans="1:34" x14ac:dyDescent="0.25">
      <c r="B16" s="56"/>
      <c r="C16" s="222"/>
      <c r="D16" s="222"/>
    </row>
    <row r="17" spans="2:16" x14ac:dyDescent="0.25">
      <c r="B17" s="56"/>
      <c r="C17" s="28"/>
      <c r="D17" s="28"/>
      <c r="P17" s="82"/>
    </row>
    <row r="18" spans="2:16" x14ac:dyDescent="0.25">
      <c r="B18" s="56"/>
    </row>
    <row r="19" spans="2:16" x14ac:dyDescent="0.25">
      <c r="B19" s="56"/>
    </row>
    <row r="20" spans="2:16" x14ac:dyDescent="0.25">
      <c r="B20" s="56"/>
    </row>
  </sheetData>
  <mergeCells count="11">
    <mergeCell ref="C16:D16"/>
    <mergeCell ref="AA4:AC4"/>
    <mergeCell ref="O4:Q4"/>
    <mergeCell ref="X4:Z4"/>
    <mergeCell ref="R4:T4"/>
    <mergeCell ref="U4:W4"/>
    <mergeCell ref="B4:B5"/>
    <mergeCell ref="C4:E4"/>
    <mergeCell ref="F4:H4"/>
    <mergeCell ref="I4:K4"/>
    <mergeCell ref="L4:N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T19"/>
  <sheetViews>
    <sheetView showGridLines="0" workbookViewId="0">
      <selection activeCell="O21" sqref="O21"/>
    </sheetView>
  </sheetViews>
  <sheetFormatPr defaultRowHeight="15" x14ac:dyDescent="0.25"/>
  <cols>
    <col min="2" max="2" width="11.5703125" customWidth="1"/>
    <col min="3" max="3" width="24.140625" customWidth="1"/>
    <col min="4" max="4" width="14.85546875" customWidth="1"/>
    <col min="5" max="5" width="17.85546875" customWidth="1"/>
    <col min="6" max="6" width="15.85546875" customWidth="1"/>
    <col min="7" max="7" width="20" customWidth="1"/>
    <col min="8" max="8" width="15.5703125" customWidth="1"/>
    <col min="9" max="9" width="16.5703125" customWidth="1"/>
    <col min="10" max="10" width="16.28515625" customWidth="1"/>
    <col min="11" max="11" width="16" customWidth="1"/>
    <col min="12" max="13" width="13.42578125" customWidth="1"/>
    <col min="14" max="15" width="15.42578125" customWidth="1"/>
    <col min="16" max="17" width="15.140625" customWidth="1"/>
    <col min="18" max="19" width="16.7109375" customWidth="1"/>
    <col min="20" max="20" width="20.85546875" customWidth="1"/>
  </cols>
  <sheetData>
    <row r="2" spans="2:20" ht="24.75" customHeight="1" x14ac:dyDescent="0.25">
      <c r="B2" s="229" t="s">
        <v>137</v>
      </c>
      <c r="C2" s="229"/>
      <c r="D2" s="98"/>
      <c r="E2" s="98"/>
      <c r="F2" s="98"/>
      <c r="G2" s="98"/>
      <c r="H2" s="98"/>
      <c r="I2" s="98"/>
      <c r="J2" s="98"/>
      <c r="K2" s="98"/>
      <c r="L2" s="98"/>
      <c r="M2" s="19"/>
      <c r="N2" s="13"/>
      <c r="O2" s="19"/>
      <c r="P2" s="13"/>
      <c r="Q2" s="13"/>
      <c r="R2" s="19"/>
      <c r="S2" s="19"/>
    </row>
    <row r="4" spans="2:20" ht="30" customHeight="1" x14ac:dyDescent="0.25">
      <c r="B4" s="221" t="s">
        <v>74</v>
      </c>
      <c r="C4" s="221" t="s">
        <v>51</v>
      </c>
      <c r="D4" s="223" t="s">
        <v>85</v>
      </c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5"/>
      <c r="T4" s="22"/>
    </row>
    <row r="5" spans="2:20" ht="41.25" customHeight="1" x14ac:dyDescent="0.25">
      <c r="B5" s="221"/>
      <c r="C5" s="221"/>
      <c r="D5" s="50" t="s">
        <v>90</v>
      </c>
      <c r="E5" s="50" t="s">
        <v>91</v>
      </c>
      <c r="F5" s="50" t="s">
        <v>92</v>
      </c>
      <c r="G5" s="50" t="s">
        <v>96</v>
      </c>
      <c r="H5" s="50" t="s">
        <v>93</v>
      </c>
      <c r="I5" s="50" t="s">
        <v>94</v>
      </c>
      <c r="J5" s="50" t="s">
        <v>95</v>
      </c>
      <c r="K5" s="50" t="s">
        <v>102</v>
      </c>
      <c r="L5" s="50" t="s">
        <v>130</v>
      </c>
      <c r="M5" s="50" t="s">
        <v>129</v>
      </c>
      <c r="N5" s="50" t="s">
        <v>132</v>
      </c>
      <c r="O5" s="50" t="s">
        <v>135</v>
      </c>
      <c r="P5" s="50" t="s">
        <v>97</v>
      </c>
      <c r="Q5" s="52" t="s">
        <v>98</v>
      </c>
      <c r="R5" s="50" t="s">
        <v>128</v>
      </c>
      <c r="S5" s="50" t="s">
        <v>131</v>
      </c>
    </row>
    <row r="6" spans="2:20" s="32" customFormat="1" x14ac:dyDescent="0.25">
      <c r="B6" s="24">
        <v>1</v>
      </c>
      <c r="C6" s="25" t="s">
        <v>57</v>
      </c>
      <c r="D6" s="75">
        <v>125000</v>
      </c>
      <c r="E6" s="75">
        <v>2000</v>
      </c>
      <c r="F6" s="75">
        <v>100000</v>
      </c>
      <c r="G6" s="75">
        <v>50000</v>
      </c>
      <c r="H6" s="75">
        <v>3000</v>
      </c>
      <c r="I6" s="75">
        <v>125000</v>
      </c>
      <c r="J6" s="75">
        <v>120000</v>
      </c>
      <c r="K6" s="75">
        <v>15000</v>
      </c>
      <c r="L6" s="75">
        <v>15000</v>
      </c>
      <c r="M6" s="75">
        <v>4500</v>
      </c>
      <c r="N6" s="75">
        <v>75000</v>
      </c>
      <c r="O6" s="75">
        <v>25000</v>
      </c>
      <c r="P6" s="75">
        <v>5000</v>
      </c>
      <c r="Q6" s="75">
        <v>15000</v>
      </c>
      <c r="R6" s="76">
        <v>20000</v>
      </c>
      <c r="S6" s="76">
        <v>8000</v>
      </c>
    </row>
    <row r="7" spans="2:20" x14ac:dyDescent="0.25">
      <c r="B7" s="3">
        <v>2</v>
      </c>
      <c r="C7" s="25" t="s">
        <v>60</v>
      </c>
      <c r="D7" s="69">
        <v>125000</v>
      </c>
      <c r="E7" s="69" t="s">
        <v>99</v>
      </c>
      <c r="F7" s="69" t="s">
        <v>99</v>
      </c>
      <c r="G7" s="75" t="s">
        <v>99</v>
      </c>
      <c r="H7" s="69">
        <v>3000</v>
      </c>
      <c r="I7" s="69">
        <v>125000</v>
      </c>
      <c r="J7" s="69" t="s">
        <v>99</v>
      </c>
      <c r="K7" s="69" t="s">
        <v>99</v>
      </c>
      <c r="L7" s="69" t="s">
        <v>99</v>
      </c>
      <c r="M7" s="69" t="s">
        <v>99</v>
      </c>
      <c r="N7" s="69">
        <v>80000</v>
      </c>
      <c r="O7" s="69">
        <v>25000</v>
      </c>
      <c r="P7" s="69">
        <v>5000</v>
      </c>
      <c r="Q7" s="69">
        <v>17000</v>
      </c>
      <c r="R7" s="69" t="s">
        <v>99</v>
      </c>
      <c r="S7" s="69">
        <v>8000</v>
      </c>
    </row>
    <row r="8" spans="2:20" x14ac:dyDescent="0.25">
      <c r="B8" s="3">
        <v>3</v>
      </c>
      <c r="C8" s="25" t="s">
        <v>62</v>
      </c>
      <c r="D8" s="69">
        <v>125000</v>
      </c>
      <c r="E8" s="69" t="s">
        <v>99</v>
      </c>
      <c r="F8" s="69" t="s">
        <v>99</v>
      </c>
      <c r="G8" s="75" t="s">
        <v>99</v>
      </c>
      <c r="H8" s="69">
        <v>3000</v>
      </c>
      <c r="I8" s="69">
        <v>125000</v>
      </c>
      <c r="J8" s="69" t="s">
        <v>99</v>
      </c>
      <c r="K8" s="69" t="s">
        <v>99</v>
      </c>
      <c r="L8" s="69" t="s">
        <v>99</v>
      </c>
      <c r="M8" s="69" t="s">
        <v>99</v>
      </c>
      <c r="N8" s="69">
        <v>80000</v>
      </c>
      <c r="O8" s="69">
        <v>27000</v>
      </c>
      <c r="P8" s="69">
        <v>5000</v>
      </c>
      <c r="Q8" s="69">
        <v>15000</v>
      </c>
      <c r="R8" s="69" t="s">
        <v>99</v>
      </c>
      <c r="S8" s="69">
        <v>10000</v>
      </c>
    </row>
    <row r="9" spans="2:20" x14ac:dyDescent="0.25">
      <c r="B9" s="3">
        <v>4</v>
      </c>
      <c r="C9" s="25" t="s">
        <v>66</v>
      </c>
      <c r="D9" s="75">
        <v>150000</v>
      </c>
      <c r="E9" s="75">
        <v>2000</v>
      </c>
      <c r="F9" s="75">
        <v>120000</v>
      </c>
      <c r="G9" s="75">
        <v>50000</v>
      </c>
      <c r="H9" s="69">
        <v>4000</v>
      </c>
      <c r="I9" s="69">
        <v>130000</v>
      </c>
      <c r="J9" s="69">
        <v>120000</v>
      </c>
      <c r="K9" s="75">
        <v>20000</v>
      </c>
      <c r="L9" s="75">
        <v>15000</v>
      </c>
      <c r="M9" s="75">
        <v>3000</v>
      </c>
      <c r="N9" s="69">
        <v>70000</v>
      </c>
      <c r="O9" s="69">
        <v>22000</v>
      </c>
      <c r="P9" s="69">
        <v>5000</v>
      </c>
      <c r="Q9" s="69">
        <v>15000</v>
      </c>
      <c r="R9" s="69">
        <v>20000</v>
      </c>
      <c r="S9" s="69">
        <v>9000</v>
      </c>
    </row>
    <row r="10" spans="2:20" s="32" customFormat="1" x14ac:dyDescent="0.25">
      <c r="B10" s="24">
        <v>5</v>
      </c>
      <c r="C10" s="25" t="s">
        <v>70</v>
      </c>
      <c r="D10" s="75">
        <v>95000</v>
      </c>
      <c r="E10" s="75">
        <v>2500</v>
      </c>
      <c r="F10" s="75">
        <v>100000</v>
      </c>
      <c r="G10" s="75">
        <v>50000</v>
      </c>
      <c r="H10" s="75">
        <v>2500</v>
      </c>
      <c r="I10" s="75">
        <v>125000</v>
      </c>
      <c r="J10" s="75">
        <v>120000</v>
      </c>
      <c r="K10" s="75">
        <v>15000</v>
      </c>
      <c r="L10" s="75">
        <v>15000</v>
      </c>
      <c r="M10" s="75">
        <v>4000</v>
      </c>
      <c r="N10" s="75">
        <v>75000</v>
      </c>
      <c r="O10" s="75">
        <v>25000</v>
      </c>
      <c r="P10" s="75">
        <v>5000</v>
      </c>
      <c r="Q10" s="75">
        <v>14000</v>
      </c>
      <c r="R10" s="75">
        <v>20000</v>
      </c>
      <c r="S10" s="75">
        <v>8000</v>
      </c>
    </row>
    <row r="11" spans="2:20" x14ac:dyDescent="0.25">
      <c r="B11" s="3">
        <v>6</v>
      </c>
      <c r="C11" s="25" t="s">
        <v>71</v>
      </c>
      <c r="D11" s="69">
        <v>125000</v>
      </c>
      <c r="E11" s="69" t="s">
        <v>99</v>
      </c>
      <c r="F11" s="69" t="s">
        <v>99</v>
      </c>
      <c r="G11" s="69" t="s">
        <v>99</v>
      </c>
      <c r="H11" s="69">
        <v>3000</v>
      </c>
      <c r="I11" s="69">
        <v>125000</v>
      </c>
      <c r="J11" s="69">
        <v>125000</v>
      </c>
      <c r="K11" s="69" t="s">
        <v>99</v>
      </c>
      <c r="L11" s="69" t="s">
        <v>99</v>
      </c>
      <c r="M11" s="69" t="s">
        <v>99</v>
      </c>
      <c r="N11" s="69">
        <v>70000</v>
      </c>
      <c r="O11" s="69">
        <v>25000</v>
      </c>
      <c r="P11" s="69">
        <v>5000</v>
      </c>
      <c r="Q11" s="69">
        <v>15000</v>
      </c>
      <c r="R11" s="69" t="s">
        <v>99</v>
      </c>
      <c r="S11" s="69">
        <v>8000</v>
      </c>
    </row>
    <row r="12" spans="2:20" x14ac:dyDescent="0.25">
      <c r="B12" s="3">
        <v>7</v>
      </c>
      <c r="C12" s="25" t="s">
        <v>67</v>
      </c>
      <c r="D12" s="69">
        <v>125000</v>
      </c>
      <c r="E12" s="69">
        <v>2000</v>
      </c>
      <c r="F12" s="69">
        <v>120000</v>
      </c>
      <c r="G12" s="69">
        <v>50000</v>
      </c>
      <c r="H12" s="69">
        <v>6000</v>
      </c>
      <c r="I12" s="69">
        <v>150000</v>
      </c>
      <c r="J12" s="69">
        <v>150000</v>
      </c>
      <c r="K12" s="69">
        <v>15000</v>
      </c>
      <c r="L12" s="69">
        <v>15000</v>
      </c>
      <c r="M12" s="69">
        <v>4500</v>
      </c>
      <c r="N12" s="69">
        <v>80000</v>
      </c>
      <c r="O12" s="69">
        <v>23000</v>
      </c>
      <c r="P12" s="69">
        <v>5000</v>
      </c>
      <c r="Q12" s="69">
        <v>15000</v>
      </c>
      <c r="R12" s="69">
        <v>20000</v>
      </c>
      <c r="S12" s="69">
        <v>8000</v>
      </c>
    </row>
    <row r="13" spans="2:20" x14ac:dyDescent="0.25">
      <c r="B13" s="3">
        <v>8</v>
      </c>
      <c r="C13" s="25" t="s">
        <v>120</v>
      </c>
      <c r="D13" s="69">
        <v>120000</v>
      </c>
      <c r="E13" s="69">
        <v>3000</v>
      </c>
      <c r="F13" s="69">
        <v>120000</v>
      </c>
      <c r="G13" s="69">
        <v>50000</v>
      </c>
      <c r="H13" s="69">
        <v>3500</v>
      </c>
      <c r="I13" s="69">
        <v>125000</v>
      </c>
      <c r="J13" s="69" t="s">
        <v>99</v>
      </c>
      <c r="K13" s="69">
        <v>15000</v>
      </c>
      <c r="L13" s="69">
        <v>15000</v>
      </c>
      <c r="M13" s="69">
        <v>4000</v>
      </c>
      <c r="N13" s="69">
        <v>75000</v>
      </c>
      <c r="O13" s="69" t="s">
        <v>99</v>
      </c>
      <c r="P13" s="69">
        <v>5000</v>
      </c>
      <c r="Q13" s="69">
        <v>15000</v>
      </c>
      <c r="R13" s="69">
        <v>20000</v>
      </c>
      <c r="S13" s="69">
        <v>9000</v>
      </c>
    </row>
    <row r="14" spans="2:20" x14ac:dyDescent="0.25">
      <c r="B14" s="3">
        <v>9</v>
      </c>
      <c r="C14" s="25" t="s">
        <v>72</v>
      </c>
      <c r="D14" s="69">
        <v>125000</v>
      </c>
      <c r="E14" s="69">
        <v>3000</v>
      </c>
      <c r="F14" s="69">
        <v>100000</v>
      </c>
      <c r="G14" s="69" t="s">
        <v>99</v>
      </c>
      <c r="H14" s="69">
        <v>5000</v>
      </c>
      <c r="I14" s="69">
        <v>130000</v>
      </c>
      <c r="J14" s="69" t="s">
        <v>99</v>
      </c>
      <c r="K14" s="69">
        <v>13000</v>
      </c>
      <c r="L14" s="69">
        <v>17000</v>
      </c>
      <c r="M14" s="69">
        <v>5000</v>
      </c>
      <c r="N14" s="69">
        <v>78000</v>
      </c>
      <c r="O14" s="69" t="s">
        <v>99</v>
      </c>
      <c r="P14" s="69">
        <v>5000</v>
      </c>
      <c r="Q14" s="69">
        <v>17000</v>
      </c>
      <c r="R14" s="69">
        <v>20000</v>
      </c>
      <c r="S14" s="69">
        <v>8000</v>
      </c>
    </row>
    <row r="15" spans="2:20" s="64" customFormat="1" x14ac:dyDescent="0.25">
      <c r="B15" s="230" t="s">
        <v>100</v>
      </c>
      <c r="C15" s="231"/>
      <c r="D15" s="74">
        <f t="shared" ref="D15:S15" si="0">AVERAGE(D6:D14)</f>
        <v>123888.88888888889</v>
      </c>
      <c r="E15" s="74">
        <f t="shared" si="0"/>
        <v>2416.6666666666665</v>
      </c>
      <c r="F15" s="74">
        <f t="shared" si="0"/>
        <v>110000</v>
      </c>
      <c r="G15" s="74">
        <f t="shared" si="0"/>
        <v>50000</v>
      </c>
      <c r="H15" s="74">
        <f t="shared" si="0"/>
        <v>3666.6666666666665</v>
      </c>
      <c r="I15" s="74">
        <f t="shared" si="0"/>
        <v>128888.88888888889</v>
      </c>
      <c r="J15" s="74">
        <f t="shared" si="0"/>
        <v>127000</v>
      </c>
      <c r="K15" s="74">
        <f t="shared" si="0"/>
        <v>15500</v>
      </c>
      <c r="L15" s="74">
        <f t="shared" si="0"/>
        <v>15333.333333333334</v>
      </c>
      <c r="M15" s="74">
        <f t="shared" si="0"/>
        <v>4166.666666666667</v>
      </c>
      <c r="N15" s="74">
        <f t="shared" si="0"/>
        <v>75888.888888888891</v>
      </c>
      <c r="O15" s="74">
        <f t="shared" si="0"/>
        <v>24571.428571428572</v>
      </c>
      <c r="P15" s="74">
        <f t="shared" si="0"/>
        <v>5000</v>
      </c>
      <c r="Q15" s="74">
        <f t="shared" si="0"/>
        <v>15333.333333333334</v>
      </c>
      <c r="R15" s="74">
        <f t="shared" si="0"/>
        <v>20000</v>
      </c>
      <c r="S15" s="74">
        <f t="shared" si="0"/>
        <v>8444.4444444444453</v>
      </c>
    </row>
    <row r="16" spans="2:20" x14ac:dyDescent="0.25">
      <c r="F16" s="104"/>
    </row>
    <row r="17" spans="2:6" x14ac:dyDescent="0.25">
      <c r="B17" t="s">
        <v>134</v>
      </c>
      <c r="F17" s="104"/>
    </row>
    <row r="18" spans="2:6" x14ac:dyDescent="0.25">
      <c r="B18" s="47" t="s">
        <v>99</v>
      </c>
      <c r="C18" s="18" t="s">
        <v>136</v>
      </c>
      <c r="D18" s="56"/>
    </row>
    <row r="19" spans="2:6" x14ac:dyDescent="0.25">
      <c r="B19" s="56"/>
      <c r="C19" s="57"/>
      <c r="D19" s="56"/>
    </row>
  </sheetData>
  <mergeCells count="5">
    <mergeCell ref="B2:C2"/>
    <mergeCell ref="B15:C15"/>
    <mergeCell ref="B4:B5"/>
    <mergeCell ref="C4:C5"/>
    <mergeCell ref="D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I46"/>
  <sheetViews>
    <sheetView showGridLines="0" workbookViewId="0">
      <selection activeCell="H37" sqref="H37"/>
    </sheetView>
  </sheetViews>
  <sheetFormatPr defaultRowHeight="15" x14ac:dyDescent="0.25"/>
  <cols>
    <col min="1" max="1" width="6.5703125" customWidth="1"/>
    <col min="2" max="2" width="8.140625" customWidth="1"/>
    <col min="3" max="3" width="36.140625" customWidth="1"/>
    <col min="4" max="4" width="20.7109375" customWidth="1"/>
    <col min="5" max="5" width="12.42578125" customWidth="1"/>
    <col min="6" max="6" width="26.42578125" customWidth="1"/>
    <col min="7" max="9" width="12.85546875" bestFit="1" customWidth="1"/>
  </cols>
  <sheetData>
    <row r="2" spans="3:9" x14ac:dyDescent="0.25">
      <c r="C2" s="145" t="s">
        <v>203</v>
      </c>
      <c r="D2" s="103" t="s">
        <v>158</v>
      </c>
      <c r="E2" s="97">
        <v>7.0000000000000007E-2</v>
      </c>
    </row>
    <row r="3" spans="3:9" x14ac:dyDescent="0.25">
      <c r="C3" s="145"/>
      <c r="D3" s="103"/>
      <c r="E3" s="144"/>
    </row>
    <row r="4" spans="3:9" x14ac:dyDescent="0.25">
      <c r="C4" s="1" t="s">
        <v>279</v>
      </c>
    </row>
    <row r="5" spans="3:9" ht="33" customHeight="1" x14ac:dyDescent="0.25">
      <c r="C5" s="49" t="s">
        <v>51</v>
      </c>
      <c r="D5" s="48" t="s">
        <v>316</v>
      </c>
      <c r="E5" s="49" t="s">
        <v>0</v>
      </c>
      <c r="F5" s="18" t="s">
        <v>161</v>
      </c>
    </row>
    <row r="6" spans="3:9" x14ac:dyDescent="0.25">
      <c r="C6" s="23" t="s">
        <v>57</v>
      </c>
      <c r="D6" s="77">
        <v>200000</v>
      </c>
      <c r="E6" s="46">
        <v>2</v>
      </c>
      <c r="F6" t="s">
        <v>205</v>
      </c>
    </row>
    <row r="7" spans="3:9" x14ac:dyDescent="0.25">
      <c r="C7" s="23" t="s">
        <v>60</v>
      </c>
      <c r="D7" s="77" t="s">
        <v>99</v>
      </c>
      <c r="E7" s="46" t="s">
        <v>99</v>
      </c>
      <c r="F7" t="s">
        <v>344</v>
      </c>
      <c r="G7" s="18"/>
    </row>
    <row r="8" spans="3:9" x14ac:dyDescent="0.25">
      <c r="C8" s="23" t="s">
        <v>62</v>
      </c>
      <c r="D8" s="77" t="s">
        <v>99</v>
      </c>
      <c r="E8" s="46" t="s">
        <v>99</v>
      </c>
      <c r="F8" t="s">
        <v>206</v>
      </c>
      <c r="G8" s="18"/>
    </row>
    <row r="9" spans="3:9" x14ac:dyDescent="0.25">
      <c r="C9" s="23" t="s">
        <v>66</v>
      </c>
      <c r="D9" s="78">
        <v>200000</v>
      </c>
      <c r="E9" s="46">
        <v>2</v>
      </c>
      <c r="F9" t="s">
        <v>207</v>
      </c>
      <c r="G9" s="18"/>
    </row>
    <row r="10" spans="3:9" x14ac:dyDescent="0.25">
      <c r="C10" s="25" t="s">
        <v>70</v>
      </c>
      <c r="D10" s="78">
        <v>150000</v>
      </c>
      <c r="E10" s="46">
        <v>1</v>
      </c>
      <c r="F10" t="s">
        <v>208</v>
      </c>
    </row>
    <row r="11" spans="3:9" x14ac:dyDescent="0.25">
      <c r="C11" s="25" t="s">
        <v>71</v>
      </c>
      <c r="D11" s="69" t="s">
        <v>99</v>
      </c>
      <c r="E11" s="46" t="s">
        <v>99</v>
      </c>
    </row>
    <row r="12" spans="3:9" x14ac:dyDescent="0.25">
      <c r="C12" s="25" t="s">
        <v>67</v>
      </c>
      <c r="D12" s="78">
        <v>250000</v>
      </c>
      <c r="E12" s="46">
        <v>2</v>
      </c>
    </row>
    <row r="13" spans="3:9" x14ac:dyDescent="0.25">
      <c r="C13" s="25" t="s">
        <v>69</v>
      </c>
      <c r="D13" s="78">
        <v>150000</v>
      </c>
      <c r="E13" s="46">
        <v>1</v>
      </c>
      <c r="G13" s="104"/>
      <c r="H13" s="104"/>
    </row>
    <row r="14" spans="3:9" x14ac:dyDescent="0.25">
      <c r="C14" s="25" t="s">
        <v>72</v>
      </c>
      <c r="D14" s="78">
        <v>200000</v>
      </c>
      <c r="E14" s="46">
        <v>2</v>
      </c>
      <c r="G14" s="104"/>
      <c r="H14" s="104"/>
    </row>
    <row r="15" spans="3:9" x14ac:dyDescent="0.25">
      <c r="C15" s="51" t="s">
        <v>121</v>
      </c>
      <c r="D15" s="79">
        <f>AVERAGE(D6:D14)</f>
        <v>191666.66666666666</v>
      </c>
      <c r="E15" s="89">
        <f>ROUNDUP(AVERAGE(E6:E14),0)</f>
        <v>2</v>
      </c>
      <c r="F15" s="104"/>
      <c r="G15" s="104"/>
      <c r="H15" s="104"/>
      <c r="I15" s="104"/>
    </row>
    <row r="16" spans="3:9" x14ac:dyDescent="0.25">
      <c r="C16" s="208"/>
      <c r="D16" s="209"/>
      <c r="E16" s="210"/>
    </row>
    <row r="17" spans="3:6" x14ac:dyDescent="0.25">
      <c r="C17" s="1" t="s">
        <v>309</v>
      </c>
    </row>
    <row r="18" spans="3:6" ht="45" customHeight="1" x14ac:dyDescent="0.25">
      <c r="C18" s="49" t="s">
        <v>51</v>
      </c>
      <c r="D18" s="48" t="s">
        <v>331</v>
      </c>
      <c r="E18" s="49" t="s">
        <v>0</v>
      </c>
      <c r="F18" s="96" t="s">
        <v>330</v>
      </c>
    </row>
    <row r="19" spans="3:6" x14ac:dyDescent="0.25">
      <c r="C19" s="23" t="s">
        <v>57</v>
      </c>
      <c r="D19" s="211">
        <v>20000</v>
      </c>
      <c r="E19" s="46">
        <v>4</v>
      </c>
      <c r="F19" s="39">
        <v>12000</v>
      </c>
    </row>
    <row r="20" spans="3:6" x14ac:dyDescent="0.25">
      <c r="C20" s="23" t="s">
        <v>60</v>
      </c>
      <c r="D20" s="211">
        <v>20000</v>
      </c>
      <c r="E20" s="46">
        <v>2</v>
      </c>
      <c r="F20" s="39">
        <v>10000</v>
      </c>
    </row>
    <row r="21" spans="3:6" x14ac:dyDescent="0.25">
      <c r="C21" s="23" t="s">
        <v>62</v>
      </c>
      <c r="D21" s="211">
        <v>20000</v>
      </c>
      <c r="E21" s="46">
        <v>2</v>
      </c>
      <c r="F21" s="39">
        <v>10000</v>
      </c>
    </row>
    <row r="22" spans="3:6" x14ac:dyDescent="0.25">
      <c r="C22" s="23" t="s">
        <v>66</v>
      </c>
      <c r="D22" s="211">
        <v>15000</v>
      </c>
      <c r="E22" s="46">
        <v>4</v>
      </c>
      <c r="F22" s="39">
        <v>10000</v>
      </c>
    </row>
    <row r="23" spans="3:6" x14ac:dyDescent="0.25">
      <c r="C23" s="25" t="s">
        <v>70</v>
      </c>
      <c r="D23" s="211">
        <v>15000</v>
      </c>
      <c r="E23" s="46">
        <v>4</v>
      </c>
      <c r="F23" s="39">
        <v>12000</v>
      </c>
    </row>
    <row r="24" spans="3:6" x14ac:dyDescent="0.25">
      <c r="C24" s="25" t="s">
        <v>71</v>
      </c>
      <c r="D24" s="211">
        <v>20000</v>
      </c>
      <c r="E24" s="46">
        <v>3</v>
      </c>
      <c r="F24" s="39">
        <v>10000</v>
      </c>
    </row>
    <row r="25" spans="3:6" x14ac:dyDescent="0.25">
      <c r="C25" s="25" t="s">
        <v>67</v>
      </c>
      <c r="D25" s="211">
        <v>20000</v>
      </c>
      <c r="E25" s="46">
        <v>5</v>
      </c>
      <c r="F25" s="39">
        <v>14000</v>
      </c>
    </row>
    <row r="26" spans="3:6" x14ac:dyDescent="0.25">
      <c r="C26" s="25" t="s">
        <v>69</v>
      </c>
      <c r="D26" s="211" t="s">
        <v>99</v>
      </c>
      <c r="E26" s="46" t="s">
        <v>99</v>
      </c>
      <c r="F26" s="213" t="s">
        <v>99</v>
      </c>
    </row>
    <row r="27" spans="3:6" x14ac:dyDescent="0.25">
      <c r="C27" s="25" t="s">
        <v>72</v>
      </c>
      <c r="D27" s="211" t="s">
        <v>99</v>
      </c>
      <c r="E27" s="46" t="s">
        <v>99</v>
      </c>
      <c r="F27" s="213" t="s">
        <v>99</v>
      </c>
    </row>
    <row r="28" spans="3:6" x14ac:dyDescent="0.25">
      <c r="C28" s="51" t="s">
        <v>121</v>
      </c>
      <c r="D28" s="212">
        <f>AVERAGE(D19:D27)</f>
        <v>18571.428571428572</v>
      </c>
      <c r="E28" s="89">
        <f>ROUNDDOWN(AVERAGE(E19:E27),0)</f>
        <v>3</v>
      </c>
      <c r="F28" s="8">
        <f>AVERAGE(F19:F27)</f>
        <v>11142.857142857143</v>
      </c>
    </row>
    <row r="29" spans="3:6" x14ac:dyDescent="0.25">
      <c r="C29" s="232" t="s">
        <v>320</v>
      </c>
      <c r="D29" s="232"/>
      <c r="E29" s="232"/>
      <c r="F29" s="214">
        <f>D28+F28</f>
        <v>29714.285714285717</v>
      </c>
    </row>
    <row r="31" spans="3:6" x14ac:dyDescent="0.25">
      <c r="C31" s="163" t="s">
        <v>312</v>
      </c>
    </row>
    <row r="32" spans="3:6" ht="36" customHeight="1" x14ac:dyDescent="0.25">
      <c r="C32" s="49" t="s">
        <v>51</v>
      </c>
      <c r="D32" s="53" t="s">
        <v>315</v>
      </c>
      <c r="E32" s="49" t="s">
        <v>0</v>
      </c>
    </row>
    <row r="33" spans="3:5" x14ac:dyDescent="0.25">
      <c r="C33" s="23" t="s">
        <v>57</v>
      </c>
      <c r="D33" s="77">
        <v>10000</v>
      </c>
      <c r="E33" s="46">
        <v>1</v>
      </c>
    </row>
    <row r="34" spans="3:5" x14ac:dyDescent="0.25">
      <c r="C34" s="23" t="s">
        <v>60</v>
      </c>
      <c r="D34" s="77" t="s">
        <v>99</v>
      </c>
      <c r="E34" s="46" t="s">
        <v>99</v>
      </c>
    </row>
    <row r="35" spans="3:5" x14ac:dyDescent="0.25">
      <c r="C35" s="23" t="s">
        <v>62</v>
      </c>
      <c r="D35" s="77" t="s">
        <v>99</v>
      </c>
      <c r="E35" s="46" t="s">
        <v>99</v>
      </c>
    </row>
    <row r="36" spans="3:5" x14ac:dyDescent="0.25">
      <c r="C36" s="23" t="s">
        <v>66</v>
      </c>
      <c r="D36" s="78">
        <v>8000</v>
      </c>
      <c r="E36" s="46">
        <v>1</v>
      </c>
    </row>
    <row r="37" spans="3:5" x14ac:dyDescent="0.25">
      <c r="C37" s="25" t="s">
        <v>70</v>
      </c>
      <c r="D37" s="78">
        <v>15000</v>
      </c>
      <c r="E37" s="46">
        <v>1</v>
      </c>
    </row>
    <row r="38" spans="3:5" x14ac:dyDescent="0.25">
      <c r="C38" s="25" t="s">
        <v>71</v>
      </c>
      <c r="D38" s="69" t="s">
        <v>99</v>
      </c>
      <c r="E38" s="46" t="s">
        <v>99</v>
      </c>
    </row>
    <row r="39" spans="3:5" x14ac:dyDescent="0.25">
      <c r="C39" s="25" t="s">
        <v>67</v>
      </c>
      <c r="D39" s="78">
        <v>10000</v>
      </c>
      <c r="E39" s="46">
        <v>1</v>
      </c>
    </row>
    <row r="40" spans="3:5" x14ac:dyDescent="0.25">
      <c r="C40" s="25" t="s">
        <v>69</v>
      </c>
      <c r="D40" s="69" t="s">
        <v>99</v>
      </c>
      <c r="E40" s="46" t="s">
        <v>99</v>
      </c>
    </row>
    <row r="41" spans="3:5" x14ac:dyDescent="0.25">
      <c r="C41" s="25" t="s">
        <v>72</v>
      </c>
      <c r="D41" s="69" t="s">
        <v>99</v>
      </c>
      <c r="E41" s="46" t="s">
        <v>99</v>
      </c>
    </row>
    <row r="42" spans="3:5" x14ac:dyDescent="0.25">
      <c r="C42" s="51" t="s">
        <v>121</v>
      </c>
      <c r="D42" s="79">
        <f>AVERAGE(D33:D41)</f>
        <v>10750</v>
      </c>
      <c r="E42" s="89">
        <f>AVERAGE(E33:E41)</f>
        <v>1</v>
      </c>
    </row>
    <row r="44" spans="3:5" x14ac:dyDescent="0.25">
      <c r="C44" s="18" t="s">
        <v>317</v>
      </c>
    </row>
    <row r="45" spans="3:5" x14ac:dyDescent="0.25">
      <c r="C45" s="18" t="s">
        <v>318</v>
      </c>
    </row>
    <row r="46" spans="3:5" x14ac:dyDescent="0.25">
      <c r="C46" s="18" t="s">
        <v>319</v>
      </c>
    </row>
  </sheetData>
  <mergeCells count="1">
    <mergeCell ref="C29:E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2:E6"/>
  <sheetViews>
    <sheetView showGridLines="0" zoomScaleNormal="100" workbookViewId="0">
      <selection activeCell="J6" sqref="J6"/>
    </sheetView>
  </sheetViews>
  <sheetFormatPr defaultRowHeight="15" x14ac:dyDescent="0.25"/>
  <cols>
    <col min="4" max="4" width="21.42578125" customWidth="1"/>
    <col min="5" max="5" width="18.85546875" customWidth="1"/>
  </cols>
  <sheetData>
    <row r="2" spans="4:5" x14ac:dyDescent="0.25">
      <c r="D2" s="1" t="s">
        <v>175</v>
      </c>
    </row>
    <row r="4" spans="4:5" ht="22.5" customHeight="1" x14ac:dyDescent="0.25">
      <c r="D4" s="47" t="s">
        <v>139</v>
      </c>
      <c r="E4" s="47" t="s">
        <v>75</v>
      </c>
    </row>
    <row r="5" spans="4:5" ht="32.25" customHeight="1" x14ac:dyDescent="0.25">
      <c r="D5" s="4" t="s">
        <v>176</v>
      </c>
      <c r="E5" s="69">
        <v>50000</v>
      </c>
    </row>
    <row r="6" spans="4:5" x14ac:dyDescent="0.25">
      <c r="D6" s="3" t="s">
        <v>166</v>
      </c>
      <c r="E6" s="95">
        <v>5.0000000000000001E-3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1:Q37"/>
  <sheetViews>
    <sheetView showGridLines="0" topLeftCell="A16" workbookViewId="0">
      <selection activeCell="K37" sqref="K37"/>
    </sheetView>
  </sheetViews>
  <sheetFormatPr defaultRowHeight="15" x14ac:dyDescent="0.25"/>
  <cols>
    <col min="1" max="3" width="4.42578125" customWidth="1"/>
    <col min="4" max="4" width="26.7109375" customWidth="1"/>
    <col min="5" max="5" width="18.28515625" customWidth="1"/>
    <col min="6" max="6" width="27" customWidth="1"/>
    <col min="7" max="7" width="15" customWidth="1"/>
    <col min="8" max="8" width="4.5703125" style="56" customWidth="1"/>
    <col min="9" max="9" width="35.140625" customWidth="1"/>
    <col min="10" max="10" width="15.28515625" customWidth="1"/>
    <col min="11" max="11" width="24.42578125" customWidth="1"/>
    <col min="12" max="12" width="18.7109375" customWidth="1"/>
    <col min="13" max="13" width="3.28515625" style="56" customWidth="1"/>
    <col min="14" max="14" width="29.140625" customWidth="1"/>
    <col min="15" max="15" width="13.7109375" customWidth="1"/>
    <col min="16" max="16" width="22.85546875" customWidth="1"/>
    <col min="17" max="17" width="14.42578125" customWidth="1"/>
  </cols>
  <sheetData>
    <row r="1" spans="4:17" ht="42" customHeight="1" x14ac:dyDescent="0.25">
      <c r="D1" s="38" t="s">
        <v>174</v>
      </c>
      <c r="K1" s="22"/>
      <c r="L1" s="22"/>
      <c r="M1" s="101"/>
      <c r="N1" s="22"/>
      <c r="O1" s="22"/>
    </row>
    <row r="2" spans="4:17" ht="27" customHeight="1" x14ac:dyDescent="0.25">
      <c r="D2" s="233" t="s">
        <v>105</v>
      </c>
      <c r="E2" s="233"/>
      <c r="F2" s="233"/>
      <c r="G2" s="233"/>
      <c r="H2" s="100"/>
      <c r="I2" s="152" t="s">
        <v>134</v>
      </c>
      <c r="M2" s="100"/>
    </row>
    <row r="3" spans="4:17" ht="35.25" customHeight="1" x14ac:dyDescent="0.25">
      <c r="D3" s="147" t="s">
        <v>103</v>
      </c>
      <c r="E3" s="147" t="s">
        <v>75</v>
      </c>
      <c r="F3" s="147" t="s">
        <v>104</v>
      </c>
      <c r="G3" s="147" t="s">
        <v>116</v>
      </c>
      <c r="H3" s="101"/>
      <c r="I3" t="s">
        <v>210</v>
      </c>
      <c r="M3" s="101"/>
    </row>
    <row r="4" spans="4:17" x14ac:dyDescent="0.25">
      <c r="D4" s="2" t="s">
        <v>141</v>
      </c>
      <c r="E4" s="39">
        <v>123889</v>
      </c>
      <c r="F4" s="2" t="s">
        <v>106</v>
      </c>
      <c r="G4" s="39">
        <f>E4/10*6</f>
        <v>74333.399999999994</v>
      </c>
      <c r="H4" s="83"/>
      <c r="I4" t="s">
        <v>211</v>
      </c>
      <c r="M4" s="83"/>
    </row>
    <row r="5" spans="4:17" x14ac:dyDescent="0.25">
      <c r="D5" s="2" t="s">
        <v>142</v>
      </c>
      <c r="E5" s="39">
        <v>110000</v>
      </c>
      <c r="F5" s="2" t="s">
        <v>108</v>
      </c>
      <c r="G5" s="39">
        <f>E5*1</f>
        <v>110000</v>
      </c>
      <c r="H5" s="83"/>
      <c r="I5" t="s">
        <v>212</v>
      </c>
      <c r="M5" s="83"/>
    </row>
    <row r="6" spans="4:17" x14ac:dyDescent="0.25">
      <c r="D6" s="2" t="s">
        <v>143</v>
      </c>
      <c r="E6" s="39">
        <v>2417</v>
      </c>
      <c r="F6" s="2" t="s">
        <v>110</v>
      </c>
      <c r="G6" s="39">
        <f>E6*20</f>
        <v>48340</v>
      </c>
      <c r="H6" s="83"/>
      <c r="M6" s="83"/>
    </row>
    <row r="7" spans="4:17" x14ac:dyDescent="0.25">
      <c r="D7" s="2" t="s">
        <v>338</v>
      </c>
      <c r="E7" s="39">
        <f>'Distribusi Biaya Bahan Baku'!K15</f>
        <v>15500</v>
      </c>
      <c r="F7" s="2" t="s">
        <v>109</v>
      </c>
      <c r="G7" s="39">
        <f>E7*3</f>
        <v>46500</v>
      </c>
      <c r="H7" s="83"/>
      <c r="I7" t="s">
        <v>213</v>
      </c>
      <c r="M7" s="83"/>
    </row>
    <row r="8" spans="4:17" x14ac:dyDescent="0.25">
      <c r="D8" s="2" t="s">
        <v>144</v>
      </c>
      <c r="E8" s="39">
        <f>'Distribusi Biaya Bahan Baku'!H15</f>
        <v>3666.6666666666665</v>
      </c>
      <c r="F8" s="2" t="s">
        <v>107</v>
      </c>
      <c r="G8" s="78">
        <v>183350</v>
      </c>
      <c r="H8" s="83"/>
      <c r="I8" t="s">
        <v>211</v>
      </c>
      <c r="M8" s="83"/>
    </row>
    <row r="9" spans="4:17" x14ac:dyDescent="0.25">
      <c r="D9" s="2" t="s">
        <v>145</v>
      </c>
      <c r="E9" s="39">
        <v>15333</v>
      </c>
      <c r="F9" s="2" t="s">
        <v>106</v>
      </c>
      <c r="G9" s="39">
        <f>E9/10*6</f>
        <v>9199.7999999999993</v>
      </c>
      <c r="H9" s="83"/>
      <c r="I9" t="s">
        <v>325</v>
      </c>
      <c r="M9" s="83"/>
    </row>
    <row r="10" spans="4:17" x14ac:dyDescent="0.25">
      <c r="D10" s="2" t="s">
        <v>146</v>
      </c>
      <c r="E10" s="39">
        <v>4167</v>
      </c>
      <c r="F10" s="2" t="s">
        <v>106</v>
      </c>
      <c r="G10" s="78">
        <f>E10/10*6</f>
        <v>2500.1999999999998</v>
      </c>
      <c r="H10" s="83"/>
      <c r="I10" t="s">
        <v>278</v>
      </c>
      <c r="J10" s="56"/>
      <c r="K10" s="56"/>
      <c r="L10" s="83"/>
      <c r="M10" s="83"/>
    </row>
    <row r="11" spans="4:17" x14ac:dyDescent="0.25">
      <c r="D11" s="2" t="s">
        <v>132</v>
      </c>
      <c r="E11" s="39">
        <f>'Distribusi Biaya Bahan Baku'!N15</f>
        <v>75888.888888888891</v>
      </c>
      <c r="F11" s="2" t="s">
        <v>111</v>
      </c>
      <c r="G11" s="39">
        <f>E11/4</f>
        <v>18972.222222222223</v>
      </c>
      <c r="H11" s="83"/>
      <c r="I11" t="s">
        <v>214</v>
      </c>
      <c r="J11" s="130"/>
      <c r="K11" s="131"/>
      <c r="L11" s="83"/>
      <c r="M11" s="83"/>
      <c r="N11" s="5"/>
      <c r="O11" s="80"/>
      <c r="P11" s="5"/>
      <c r="Q11" s="80"/>
    </row>
    <row r="12" spans="4:17" x14ac:dyDescent="0.25">
      <c r="D12" s="2" t="s">
        <v>114</v>
      </c>
      <c r="E12" s="39">
        <v>15333</v>
      </c>
      <c r="F12" s="2" t="s">
        <v>113</v>
      </c>
      <c r="G12" s="39">
        <f>E12/5</f>
        <v>3066.6</v>
      </c>
      <c r="H12" s="83"/>
      <c r="J12" s="83"/>
      <c r="K12" s="56"/>
      <c r="L12" s="83"/>
      <c r="M12" s="83"/>
      <c r="N12" s="5"/>
      <c r="O12" s="80"/>
      <c r="P12" s="5"/>
      <c r="Q12" s="80"/>
    </row>
    <row r="13" spans="4:17" x14ac:dyDescent="0.25">
      <c r="D13" s="2" t="s">
        <v>128</v>
      </c>
      <c r="E13" s="39">
        <v>20000</v>
      </c>
      <c r="F13" s="2" t="s">
        <v>140</v>
      </c>
      <c r="G13" s="39">
        <f>E13*1</f>
        <v>20000</v>
      </c>
      <c r="H13" s="83"/>
      <c r="I13" s="5" t="s">
        <v>215</v>
      </c>
      <c r="J13" s="5"/>
    </row>
    <row r="14" spans="4:17" x14ac:dyDescent="0.25">
      <c r="D14" s="132" t="s">
        <v>131</v>
      </c>
      <c r="E14" s="134">
        <v>8444</v>
      </c>
      <c r="F14" s="106" t="s">
        <v>113</v>
      </c>
      <c r="G14" s="135">
        <f>E14/5</f>
        <v>1688.8</v>
      </c>
      <c r="H14" s="99"/>
      <c r="I14" t="s">
        <v>211</v>
      </c>
      <c r="J14" s="5"/>
    </row>
    <row r="15" spans="4:17" x14ac:dyDescent="0.25">
      <c r="D15" s="40" t="s">
        <v>322</v>
      </c>
      <c r="E15" s="178">
        <v>7000</v>
      </c>
      <c r="F15" s="2" t="s">
        <v>324</v>
      </c>
      <c r="G15" s="81">
        <f>E15*5</f>
        <v>35000</v>
      </c>
      <c r="H15" s="99"/>
      <c r="J15" s="5"/>
    </row>
    <row r="16" spans="4:17" x14ac:dyDescent="0.25">
      <c r="D16" s="121" t="s">
        <v>4</v>
      </c>
      <c r="E16" s="136">
        <f>SUM(E4:E15)</f>
        <v>401638.5555555555</v>
      </c>
      <c r="F16" s="137"/>
      <c r="G16" s="138">
        <f>ROUND(SUM(G4:G15),0)</f>
        <v>552951</v>
      </c>
      <c r="H16" s="99"/>
      <c r="I16" t="s">
        <v>277</v>
      </c>
    </row>
    <row r="17" spans="4:10" x14ac:dyDescent="0.25">
      <c r="I17" s="5" t="s">
        <v>214</v>
      </c>
    </row>
    <row r="18" spans="4:10" ht="24" customHeight="1" x14ac:dyDescent="0.25">
      <c r="D18" s="233" t="s">
        <v>164</v>
      </c>
      <c r="E18" s="233"/>
      <c r="F18" s="233"/>
      <c r="G18" s="233"/>
    </row>
    <row r="19" spans="4:10" ht="30" x14ac:dyDescent="0.25">
      <c r="D19" s="147" t="s">
        <v>103</v>
      </c>
      <c r="E19" s="147" t="s">
        <v>75</v>
      </c>
      <c r="F19" s="147" t="s">
        <v>104</v>
      </c>
      <c r="G19" s="147" t="s">
        <v>116</v>
      </c>
      <c r="J19" s="104">
        <f t="shared" ref="J19:J30" si="0">G4*6</f>
        <v>446000.39999999997</v>
      </c>
    </row>
    <row r="20" spans="4:10" x14ac:dyDescent="0.25">
      <c r="D20" s="2" t="s">
        <v>141</v>
      </c>
      <c r="E20" s="39">
        <v>123889</v>
      </c>
      <c r="F20" s="2" t="s">
        <v>112</v>
      </c>
      <c r="G20" s="39">
        <f>E20/10*2</f>
        <v>24777.8</v>
      </c>
      <c r="J20" s="104">
        <f t="shared" si="0"/>
        <v>660000</v>
      </c>
    </row>
    <row r="21" spans="4:10" x14ac:dyDescent="0.25">
      <c r="D21" s="2" t="s">
        <v>147</v>
      </c>
      <c r="E21" s="39">
        <f>'Distribusi Biaya Bahan Baku'!I15</f>
        <v>128888.88888888889</v>
      </c>
      <c r="F21" s="2" t="s">
        <v>321</v>
      </c>
      <c r="G21" s="39">
        <f>E21*3</f>
        <v>386666.66666666669</v>
      </c>
      <c r="J21" s="104">
        <f t="shared" si="0"/>
        <v>290040</v>
      </c>
    </row>
    <row r="22" spans="4:10" x14ac:dyDescent="0.25">
      <c r="D22" s="2" t="s">
        <v>115</v>
      </c>
      <c r="E22" s="39">
        <v>24571</v>
      </c>
      <c r="F22" s="2" t="s">
        <v>339</v>
      </c>
      <c r="G22" s="39">
        <f>E22/1</f>
        <v>24571</v>
      </c>
      <c r="J22" s="104">
        <f t="shared" si="0"/>
        <v>279000</v>
      </c>
    </row>
    <row r="23" spans="4:10" x14ac:dyDescent="0.25">
      <c r="D23" s="2" t="s">
        <v>114</v>
      </c>
      <c r="E23" s="39">
        <v>15333</v>
      </c>
      <c r="F23" s="2" t="s">
        <v>150</v>
      </c>
      <c r="G23" s="39">
        <f>E23/10</f>
        <v>1533.3</v>
      </c>
      <c r="J23" s="104">
        <f t="shared" si="0"/>
        <v>1100100</v>
      </c>
    </row>
    <row r="24" spans="4:10" x14ac:dyDescent="0.25">
      <c r="D24" s="132" t="s">
        <v>131</v>
      </c>
      <c r="E24" s="129">
        <v>8444</v>
      </c>
      <c r="F24" s="106" t="s">
        <v>150</v>
      </c>
      <c r="G24" s="129">
        <f>E24/10</f>
        <v>844.4</v>
      </c>
      <c r="J24" s="104">
        <f t="shared" si="0"/>
        <v>55198.799999999996</v>
      </c>
    </row>
    <row r="25" spans="4:10" x14ac:dyDescent="0.25">
      <c r="D25" s="40" t="s">
        <v>322</v>
      </c>
      <c r="E25" s="39">
        <v>7000</v>
      </c>
      <c r="F25" s="2" t="s">
        <v>323</v>
      </c>
      <c r="G25" s="39">
        <f>E25</f>
        <v>7000</v>
      </c>
      <c r="J25" s="104">
        <f t="shared" si="0"/>
        <v>15001.199999999999</v>
      </c>
    </row>
    <row r="26" spans="4:10" x14ac:dyDescent="0.25">
      <c r="D26" s="121" t="s">
        <v>4</v>
      </c>
      <c r="E26" s="141">
        <f>SUM(E20:E25)</f>
        <v>308125.88888888888</v>
      </c>
      <c r="F26" s="133"/>
      <c r="G26" s="88">
        <f>SUM(G20:G25)</f>
        <v>445393.16666666669</v>
      </c>
      <c r="J26" s="104">
        <f t="shared" si="0"/>
        <v>113833.33333333334</v>
      </c>
    </row>
    <row r="27" spans="4:10" x14ac:dyDescent="0.25">
      <c r="J27" s="104">
        <f t="shared" si="0"/>
        <v>18399.599999999999</v>
      </c>
    </row>
    <row r="28" spans="4:10" ht="24.75" customHeight="1" x14ac:dyDescent="0.25">
      <c r="D28" s="233" t="s">
        <v>165</v>
      </c>
      <c r="E28" s="233"/>
      <c r="F28" s="233"/>
      <c r="G28" s="233"/>
      <c r="J28" s="104">
        <f t="shared" si="0"/>
        <v>120000</v>
      </c>
    </row>
    <row r="29" spans="4:10" ht="30" x14ac:dyDescent="0.25">
      <c r="D29" s="147" t="s">
        <v>103</v>
      </c>
      <c r="E29" s="147" t="s">
        <v>75</v>
      </c>
      <c r="F29" s="147" t="s">
        <v>104</v>
      </c>
      <c r="G29" s="147" t="s">
        <v>116</v>
      </c>
      <c r="J29" s="104">
        <f t="shared" si="0"/>
        <v>10132.799999999999</v>
      </c>
    </row>
    <row r="30" spans="4:10" x14ac:dyDescent="0.25">
      <c r="D30" s="2" t="s">
        <v>141</v>
      </c>
      <c r="E30" s="39">
        <v>123889</v>
      </c>
      <c r="F30" s="2" t="s">
        <v>112</v>
      </c>
      <c r="G30" s="39">
        <f>E30/10*2</f>
        <v>24777.8</v>
      </c>
      <c r="J30" s="104">
        <f t="shared" si="0"/>
        <v>210000</v>
      </c>
    </row>
    <row r="31" spans="4:10" x14ac:dyDescent="0.25">
      <c r="D31" s="2" t="s">
        <v>148</v>
      </c>
      <c r="E31" s="39">
        <v>50000</v>
      </c>
      <c r="F31" s="2" t="s">
        <v>117</v>
      </c>
      <c r="G31" s="39">
        <f>E31*1</f>
        <v>50000</v>
      </c>
      <c r="J31" s="104">
        <f>SUM(J19:J30)</f>
        <v>3317706.1333333333</v>
      </c>
    </row>
    <row r="32" spans="4:10" x14ac:dyDescent="0.25">
      <c r="D32" s="2" t="s">
        <v>149</v>
      </c>
      <c r="E32" s="39">
        <f>E8</f>
        <v>3666.6666666666665</v>
      </c>
      <c r="F32" s="2" t="s">
        <v>118</v>
      </c>
      <c r="G32" s="39">
        <f>E32*1</f>
        <v>3666.6666666666665</v>
      </c>
      <c r="J32" s="104">
        <f>J31+HPP!D18+HPP!D19+'Rugi Laba Kepala Barongan'!D10+HPP!D12</f>
        <v>6649241.072933333</v>
      </c>
    </row>
    <row r="33" spans="4:7" x14ac:dyDescent="0.25">
      <c r="D33" s="2" t="s">
        <v>115</v>
      </c>
      <c r="E33" s="39">
        <v>24571</v>
      </c>
      <c r="F33" s="2" t="s">
        <v>340</v>
      </c>
      <c r="G33" s="39">
        <f>E33/3</f>
        <v>8190.333333333333</v>
      </c>
    </row>
    <row r="34" spans="4:7" x14ac:dyDescent="0.25">
      <c r="D34" s="2" t="s">
        <v>114</v>
      </c>
      <c r="E34" s="39">
        <v>15333</v>
      </c>
      <c r="F34" s="2" t="s">
        <v>119</v>
      </c>
      <c r="G34" s="39">
        <f>E34/20</f>
        <v>766.65</v>
      </c>
    </row>
    <row r="35" spans="4:7" x14ac:dyDescent="0.25">
      <c r="D35" s="40" t="s">
        <v>131</v>
      </c>
      <c r="E35" s="39">
        <v>8444</v>
      </c>
      <c r="F35" s="2" t="s">
        <v>150</v>
      </c>
      <c r="G35" s="39">
        <v>844</v>
      </c>
    </row>
    <row r="36" spans="4:7" x14ac:dyDescent="0.25">
      <c r="D36" s="40" t="s">
        <v>322</v>
      </c>
      <c r="E36" s="39">
        <v>7000</v>
      </c>
      <c r="F36" s="2" t="s">
        <v>323</v>
      </c>
      <c r="G36" s="39">
        <f>E36*1</f>
        <v>7000</v>
      </c>
    </row>
    <row r="37" spans="4:7" x14ac:dyDescent="0.25">
      <c r="D37" s="44" t="s">
        <v>4</v>
      </c>
      <c r="E37" s="149">
        <f>SUM(E30:E36)</f>
        <v>232903.66666666666</v>
      </c>
      <c r="F37" s="150"/>
      <c r="G37" s="151">
        <f>SUM(G30:G36)</f>
        <v>95245.45</v>
      </c>
    </row>
  </sheetData>
  <mergeCells count="3">
    <mergeCell ref="D2:G2"/>
    <mergeCell ref="D18:G18"/>
    <mergeCell ref="D28:G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K22"/>
  <sheetViews>
    <sheetView showGridLines="0" tabSelected="1" workbookViewId="0">
      <selection activeCell="H20" sqref="H20"/>
    </sheetView>
  </sheetViews>
  <sheetFormatPr defaultRowHeight="15" x14ac:dyDescent="0.25"/>
  <cols>
    <col min="2" max="2" width="4.7109375" customWidth="1"/>
    <col min="3" max="3" width="27.140625" customWidth="1"/>
    <col min="4" max="4" width="9.140625" customWidth="1"/>
    <col min="5" max="5" width="17.85546875" customWidth="1"/>
    <col min="6" max="6" width="20.5703125" customWidth="1"/>
    <col min="7" max="8" width="21" customWidth="1"/>
    <col min="9" max="9" width="20.7109375" customWidth="1"/>
    <col min="10" max="10" width="30.7109375" customWidth="1"/>
    <col min="11" max="11" width="15.140625" bestFit="1" customWidth="1"/>
  </cols>
  <sheetData>
    <row r="2" spans="2:11" x14ac:dyDescent="0.25">
      <c r="B2" s="1" t="s">
        <v>217</v>
      </c>
    </row>
    <row r="4" spans="2:11" ht="20.25" customHeight="1" x14ac:dyDescent="0.25">
      <c r="B4" s="234" t="s">
        <v>2</v>
      </c>
      <c r="C4" s="234" t="s">
        <v>151</v>
      </c>
      <c r="D4" s="234" t="s">
        <v>204</v>
      </c>
      <c r="E4" s="234" t="s">
        <v>152</v>
      </c>
      <c r="F4" s="234" t="s">
        <v>3</v>
      </c>
      <c r="G4" s="239" t="s">
        <v>4</v>
      </c>
      <c r="H4" s="45" t="s">
        <v>218</v>
      </c>
      <c r="I4" s="234" t="s">
        <v>163</v>
      </c>
      <c r="J4" s="234" t="s">
        <v>335</v>
      </c>
    </row>
    <row r="5" spans="2:11" ht="16.5" customHeight="1" x14ac:dyDescent="0.25">
      <c r="B5" s="235"/>
      <c r="C5" s="235"/>
      <c r="D5" s="235"/>
      <c r="E5" s="235"/>
      <c r="F5" s="235"/>
      <c r="G5" s="240"/>
      <c r="H5" s="86">
        <v>0.2</v>
      </c>
      <c r="I5" s="235"/>
      <c r="J5" s="235"/>
    </row>
    <row r="6" spans="2:11" x14ac:dyDescent="0.25">
      <c r="B6" s="3">
        <v>1</v>
      </c>
      <c r="C6" s="2" t="s">
        <v>44</v>
      </c>
      <c r="D6" s="3">
        <v>1</v>
      </c>
      <c r="E6" s="3">
        <v>8</v>
      </c>
      <c r="F6" s="67">
        <v>1772222</v>
      </c>
      <c r="G6" s="39">
        <f t="shared" ref="G6:G14" si="0">F6*D6</f>
        <v>1772222</v>
      </c>
      <c r="H6" s="39">
        <f t="shared" ref="H6:H14" si="1">G6*$H$5</f>
        <v>354444.4</v>
      </c>
      <c r="I6" s="39">
        <f t="shared" ref="I6:I14" si="2">SLN(G6,H6,E6)</f>
        <v>177222.2</v>
      </c>
      <c r="J6" s="81">
        <f t="shared" ref="J6:J14" si="3">I6*E6</f>
        <v>1417777.6</v>
      </c>
      <c r="K6" s="104"/>
    </row>
    <row r="7" spans="2:11" s="32" customFormat="1" x14ac:dyDescent="0.25">
      <c r="B7" s="24">
        <v>2</v>
      </c>
      <c r="C7" s="40" t="s">
        <v>43</v>
      </c>
      <c r="D7" s="24">
        <v>1</v>
      </c>
      <c r="E7" s="24">
        <v>8</v>
      </c>
      <c r="F7" s="177">
        <v>300000</v>
      </c>
      <c r="G7" s="178">
        <f t="shared" si="0"/>
        <v>300000</v>
      </c>
      <c r="H7" s="178">
        <f t="shared" si="1"/>
        <v>60000</v>
      </c>
      <c r="I7" s="178">
        <f t="shared" si="2"/>
        <v>30000</v>
      </c>
      <c r="J7" s="179">
        <f t="shared" si="3"/>
        <v>240000</v>
      </c>
      <c r="K7" s="180"/>
    </row>
    <row r="8" spans="2:11" x14ac:dyDescent="0.25">
      <c r="B8" s="3">
        <v>3</v>
      </c>
      <c r="C8" s="2" t="s">
        <v>154</v>
      </c>
      <c r="D8" s="3">
        <v>1</v>
      </c>
      <c r="E8" s="3">
        <v>8</v>
      </c>
      <c r="F8" s="67">
        <v>805556</v>
      </c>
      <c r="G8" s="39">
        <f t="shared" si="0"/>
        <v>805556</v>
      </c>
      <c r="H8" s="39">
        <f t="shared" si="1"/>
        <v>161111.20000000001</v>
      </c>
      <c r="I8" s="39">
        <f t="shared" si="2"/>
        <v>80555.600000000006</v>
      </c>
      <c r="J8" s="81">
        <f t="shared" si="3"/>
        <v>644444.80000000005</v>
      </c>
    </row>
    <row r="9" spans="2:11" x14ac:dyDescent="0.25">
      <c r="B9" s="3">
        <v>4</v>
      </c>
      <c r="C9" s="2" t="s">
        <v>81</v>
      </c>
      <c r="D9" s="3">
        <v>1</v>
      </c>
      <c r="E9" s="3">
        <v>5</v>
      </c>
      <c r="F9" s="67">
        <v>344444</v>
      </c>
      <c r="G9" s="39">
        <f t="shared" si="0"/>
        <v>344444</v>
      </c>
      <c r="H9" s="39">
        <f t="shared" si="1"/>
        <v>68888.800000000003</v>
      </c>
      <c r="I9" s="39">
        <f t="shared" si="2"/>
        <v>55111.040000000001</v>
      </c>
      <c r="J9" s="81">
        <f t="shared" si="3"/>
        <v>275555.20000000001</v>
      </c>
    </row>
    <row r="10" spans="2:11" x14ac:dyDescent="0.25">
      <c r="B10" s="3">
        <v>5</v>
      </c>
      <c r="C10" s="2" t="s">
        <v>87</v>
      </c>
      <c r="D10" s="3">
        <v>2</v>
      </c>
      <c r="E10" s="3">
        <v>5</v>
      </c>
      <c r="F10" s="67">
        <v>52222</v>
      </c>
      <c r="G10" s="39">
        <f t="shared" si="0"/>
        <v>104444</v>
      </c>
      <c r="H10" s="39">
        <f t="shared" si="1"/>
        <v>20888.800000000003</v>
      </c>
      <c r="I10" s="39">
        <f t="shared" si="2"/>
        <v>16711.04</v>
      </c>
      <c r="J10" s="81">
        <f t="shared" si="3"/>
        <v>83555.200000000012</v>
      </c>
    </row>
    <row r="11" spans="2:11" x14ac:dyDescent="0.25">
      <c r="B11" s="3">
        <v>6</v>
      </c>
      <c r="C11" s="2" t="s">
        <v>86</v>
      </c>
      <c r="D11" s="3">
        <v>2</v>
      </c>
      <c r="E11" s="3">
        <v>5</v>
      </c>
      <c r="F11" s="67">
        <v>60000</v>
      </c>
      <c r="G11" s="39">
        <f t="shared" si="0"/>
        <v>120000</v>
      </c>
      <c r="H11" s="39">
        <f t="shared" si="1"/>
        <v>24000</v>
      </c>
      <c r="I11" s="39">
        <f t="shared" si="2"/>
        <v>19200</v>
      </c>
      <c r="J11" s="81">
        <f t="shared" si="3"/>
        <v>96000</v>
      </c>
    </row>
    <row r="12" spans="2:11" x14ac:dyDescent="0.25">
      <c r="B12" s="3">
        <v>7</v>
      </c>
      <c r="C12" s="2" t="s">
        <v>162</v>
      </c>
      <c r="D12" s="3">
        <v>1</v>
      </c>
      <c r="E12" s="3">
        <v>8</v>
      </c>
      <c r="F12" s="67">
        <v>217222</v>
      </c>
      <c r="G12" s="39">
        <f t="shared" si="0"/>
        <v>217222</v>
      </c>
      <c r="H12" s="39">
        <f t="shared" si="1"/>
        <v>43444.4</v>
      </c>
      <c r="I12" s="39">
        <f t="shared" si="2"/>
        <v>21722.2</v>
      </c>
      <c r="J12" s="81">
        <f t="shared" si="3"/>
        <v>173777.6</v>
      </c>
    </row>
    <row r="13" spans="2:11" x14ac:dyDescent="0.25">
      <c r="B13" s="3">
        <v>8</v>
      </c>
      <c r="C13" s="2" t="s">
        <v>89</v>
      </c>
      <c r="D13" s="3">
        <v>3</v>
      </c>
      <c r="E13" s="3">
        <v>5</v>
      </c>
      <c r="F13" s="67">
        <v>22222</v>
      </c>
      <c r="G13" s="39">
        <f t="shared" si="0"/>
        <v>66666</v>
      </c>
      <c r="H13" s="39">
        <f t="shared" si="1"/>
        <v>13333.2</v>
      </c>
      <c r="I13" s="39">
        <f t="shared" si="2"/>
        <v>10666.560000000001</v>
      </c>
      <c r="J13" s="81">
        <f t="shared" si="3"/>
        <v>53332.800000000003</v>
      </c>
    </row>
    <row r="14" spans="2:11" x14ac:dyDescent="0.25">
      <c r="B14" s="3">
        <v>9</v>
      </c>
      <c r="C14" s="2" t="s">
        <v>82</v>
      </c>
      <c r="D14" s="3">
        <v>2</v>
      </c>
      <c r="E14" s="3">
        <v>5</v>
      </c>
      <c r="F14" s="67">
        <v>26667</v>
      </c>
      <c r="G14" s="39">
        <f t="shared" si="0"/>
        <v>53334</v>
      </c>
      <c r="H14" s="39">
        <f t="shared" si="1"/>
        <v>10666.800000000001</v>
      </c>
      <c r="I14" s="39">
        <f t="shared" si="2"/>
        <v>8533.4399999999987</v>
      </c>
      <c r="J14" s="81">
        <f t="shared" si="3"/>
        <v>42667.199999999997</v>
      </c>
    </row>
    <row r="15" spans="2:11" ht="15" customHeight="1" x14ac:dyDescent="0.25">
      <c r="B15" s="236" t="s">
        <v>4</v>
      </c>
      <c r="C15" s="237"/>
      <c r="D15" s="237"/>
      <c r="E15" s="237"/>
      <c r="F15" s="238"/>
      <c r="G15" s="84">
        <f>SUM(G6:G14)</f>
        <v>3783888</v>
      </c>
      <c r="H15" s="85" t="s">
        <v>5</v>
      </c>
      <c r="I15" s="8">
        <f>SUM(I6:I14)</f>
        <v>419722.08</v>
      </c>
      <c r="J15" s="84"/>
    </row>
    <row r="16" spans="2:11" x14ac:dyDescent="0.25">
      <c r="B16" s="5"/>
      <c r="C16" s="5"/>
      <c r="D16" s="5"/>
      <c r="E16" s="5"/>
      <c r="F16" s="5"/>
      <c r="G16" s="5"/>
      <c r="H16" s="5"/>
      <c r="I16" s="5"/>
    </row>
    <row r="17" spans="3:10" x14ac:dyDescent="0.25">
      <c r="H17" s="127" t="s">
        <v>290</v>
      </c>
      <c r="I17" s="104" t="s">
        <v>289</v>
      </c>
    </row>
    <row r="18" spans="3:10" ht="15" customHeight="1" x14ac:dyDescent="0.25">
      <c r="C18" s="6" t="s">
        <v>6</v>
      </c>
      <c r="D18" s="7"/>
      <c r="E18" s="88">
        <f>G15</f>
        <v>3783888</v>
      </c>
      <c r="F18" s="104"/>
    </row>
    <row r="19" spans="3:10" x14ac:dyDescent="0.25">
      <c r="E19" s="68"/>
      <c r="H19" s="104"/>
      <c r="I19" s="104"/>
      <c r="J19" s="104"/>
    </row>
    <row r="20" spans="3:10" x14ac:dyDescent="0.25">
      <c r="C20" s="6" t="s">
        <v>156</v>
      </c>
      <c r="D20" s="7"/>
      <c r="E20" s="88">
        <f>I15</f>
        <v>419722.08</v>
      </c>
      <c r="H20" s="104"/>
      <c r="I20" s="104"/>
    </row>
    <row r="21" spans="3:10" x14ac:dyDescent="0.25">
      <c r="H21" s="104"/>
      <c r="I21" s="104"/>
    </row>
    <row r="22" spans="3:10" x14ac:dyDescent="0.25">
      <c r="I22" s="87"/>
      <c r="J22" s="87"/>
    </row>
  </sheetData>
  <mergeCells count="9">
    <mergeCell ref="J4:J5"/>
    <mergeCell ref="B15:F15"/>
    <mergeCell ref="G4:G5"/>
    <mergeCell ref="I4:I5"/>
    <mergeCell ref="C4:C5"/>
    <mergeCell ref="B4:B5"/>
    <mergeCell ref="D4:D5"/>
    <mergeCell ref="E4:E5"/>
    <mergeCell ref="F4:F5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2:J21"/>
  <sheetViews>
    <sheetView showGridLines="0" workbookViewId="0">
      <selection activeCell="H22" sqref="H22"/>
    </sheetView>
  </sheetViews>
  <sheetFormatPr defaultRowHeight="15" x14ac:dyDescent="0.25"/>
  <cols>
    <col min="1" max="1" width="4.42578125" customWidth="1"/>
    <col min="2" max="2" width="4.7109375" customWidth="1"/>
    <col min="3" max="3" width="23.7109375" customWidth="1"/>
    <col min="4" max="5" width="13.140625" customWidth="1"/>
    <col min="6" max="7" width="13" customWidth="1"/>
    <col min="8" max="8" width="14.140625" customWidth="1"/>
    <col min="9" max="9" width="13.5703125" customWidth="1"/>
  </cols>
  <sheetData>
    <row r="2" spans="3:9" x14ac:dyDescent="0.25">
      <c r="C2" s="1" t="s">
        <v>125</v>
      </c>
      <c r="G2" s="1"/>
    </row>
    <row r="4" spans="3:9" ht="30.75" customHeight="1" x14ac:dyDescent="0.25">
      <c r="C4" s="234" t="s">
        <v>51</v>
      </c>
      <c r="D4" s="242" t="s">
        <v>123</v>
      </c>
      <c r="E4" s="243"/>
      <c r="F4" s="243"/>
      <c r="G4" s="243"/>
      <c r="H4" s="243"/>
      <c r="I4" s="244"/>
    </row>
    <row r="5" spans="3:9" ht="41.25" customHeight="1" x14ac:dyDescent="0.25">
      <c r="C5" s="241"/>
      <c r="D5" s="233" t="s">
        <v>80</v>
      </c>
      <c r="E5" s="233"/>
      <c r="F5" s="233" t="s">
        <v>124</v>
      </c>
      <c r="G5" s="233"/>
      <c r="H5" s="242" t="s">
        <v>101</v>
      </c>
      <c r="I5" s="244"/>
    </row>
    <row r="6" spans="3:9" ht="21.75" customHeight="1" x14ac:dyDescent="0.25">
      <c r="C6" s="235"/>
      <c r="D6" s="147" t="s">
        <v>126</v>
      </c>
      <c r="E6" s="147" t="s">
        <v>127</v>
      </c>
      <c r="F6" s="44" t="s">
        <v>126</v>
      </c>
      <c r="G6" s="44" t="s">
        <v>127</v>
      </c>
      <c r="H6" s="147" t="s">
        <v>126</v>
      </c>
      <c r="I6" s="44" t="s">
        <v>127</v>
      </c>
    </row>
    <row r="7" spans="3:9" x14ac:dyDescent="0.25">
      <c r="C7" s="23" t="s">
        <v>57</v>
      </c>
      <c r="D7" s="3" t="s">
        <v>99</v>
      </c>
      <c r="E7" s="3">
        <v>3</v>
      </c>
      <c r="F7" s="3">
        <v>20</v>
      </c>
      <c r="G7" s="3">
        <f t="shared" ref="G7:G13" si="0">F7*12</f>
        <v>240</v>
      </c>
      <c r="H7" s="3" t="s">
        <v>99</v>
      </c>
      <c r="I7" s="3">
        <v>5</v>
      </c>
    </row>
    <row r="8" spans="3:9" x14ac:dyDescent="0.25">
      <c r="C8" s="23" t="s">
        <v>60</v>
      </c>
      <c r="D8" s="3" t="s">
        <v>99</v>
      </c>
      <c r="E8" s="3" t="s">
        <v>99</v>
      </c>
      <c r="F8" s="3">
        <v>20</v>
      </c>
      <c r="G8" s="3">
        <f t="shared" si="0"/>
        <v>240</v>
      </c>
      <c r="H8" s="3" t="s">
        <v>99</v>
      </c>
      <c r="I8" s="3" t="s">
        <v>99</v>
      </c>
    </row>
    <row r="9" spans="3:9" x14ac:dyDescent="0.25">
      <c r="C9" s="23" t="s">
        <v>62</v>
      </c>
      <c r="D9" s="3" t="s">
        <v>99</v>
      </c>
      <c r="E9" s="21" t="s">
        <v>99</v>
      </c>
      <c r="F9" s="21">
        <v>15</v>
      </c>
      <c r="G9" s="21">
        <f t="shared" si="0"/>
        <v>180</v>
      </c>
      <c r="H9" s="21" t="s">
        <v>99</v>
      </c>
      <c r="I9" s="21" t="s">
        <v>99</v>
      </c>
    </row>
    <row r="10" spans="3:9" x14ac:dyDescent="0.25">
      <c r="C10" s="23" t="s">
        <v>66</v>
      </c>
      <c r="D10" s="3" t="s">
        <v>99</v>
      </c>
      <c r="E10" s="3">
        <v>3</v>
      </c>
      <c r="F10" s="3">
        <v>20</v>
      </c>
      <c r="G10" s="3">
        <f t="shared" si="0"/>
        <v>240</v>
      </c>
      <c r="H10" s="3" t="s">
        <v>99</v>
      </c>
      <c r="I10" s="3">
        <v>4</v>
      </c>
    </row>
    <row r="11" spans="3:9" x14ac:dyDescent="0.25">
      <c r="C11" s="25" t="s">
        <v>70</v>
      </c>
      <c r="D11" s="3" t="s">
        <v>99</v>
      </c>
      <c r="E11" s="3">
        <v>5</v>
      </c>
      <c r="F11" s="3">
        <v>20</v>
      </c>
      <c r="G11" s="3">
        <f t="shared" si="0"/>
        <v>240</v>
      </c>
      <c r="H11" s="3" t="s">
        <v>99</v>
      </c>
      <c r="I11" s="3">
        <v>5</v>
      </c>
    </row>
    <row r="12" spans="3:9" x14ac:dyDescent="0.25">
      <c r="C12" s="25" t="s">
        <v>71</v>
      </c>
      <c r="D12" s="3" t="s">
        <v>99</v>
      </c>
      <c r="E12" s="3" t="s">
        <v>99</v>
      </c>
      <c r="F12" s="3">
        <v>15</v>
      </c>
      <c r="G12" s="3">
        <f t="shared" si="0"/>
        <v>180</v>
      </c>
      <c r="H12" s="3" t="s">
        <v>99</v>
      </c>
      <c r="I12" s="3" t="s">
        <v>99</v>
      </c>
    </row>
    <row r="13" spans="3:9" x14ac:dyDescent="0.25">
      <c r="C13" s="25" t="s">
        <v>67</v>
      </c>
      <c r="D13" s="3" t="s">
        <v>99</v>
      </c>
      <c r="E13" s="3">
        <v>7</v>
      </c>
      <c r="F13" s="3">
        <v>30</v>
      </c>
      <c r="G13" s="3">
        <f t="shared" si="0"/>
        <v>360</v>
      </c>
      <c r="H13" s="3" t="s">
        <v>99</v>
      </c>
      <c r="I13" s="3">
        <v>10</v>
      </c>
    </row>
    <row r="14" spans="3:9" x14ac:dyDescent="0.25">
      <c r="C14" s="25" t="s">
        <v>69</v>
      </c>
      <c r="D14" s="3" t="s">
        <v>99</v>
      </c>
      <c r="E14" s="3">
        <v>8</v>
      </c>
      <c r="F14" s="3" t="s">
        <v>99</v>
      </c>
      <c r="G14" s="3" t="s">
        <v>99</v>
      </c>
      <c r="H14" s="3" t="s">
        <v>99</v>
      </c>
      <c r="I14" s="3" t="s">
        <v>99</v>
      </c>
    </row>
    <row r="15" spans="3:9" x14ac:dyDescent="0.25">
      <c r="C15" s="25" t="s">
        <v>72</v>
      </c>
      <c r="D15" s="3" t="s">
        <v>99</v>
      </c>
      <c r="E15" s="3">
        <v>10</v>
      </c>
      <c r="F15" s="3" t="s">
        <v>99</v>
      </c>
      <c r="G15" s="3" t="s">
        <v>99</v>
      </c>
      <c r="H15" s="3" t="s">
        <v>99</v>
      </c>
      <c r="I15" s="3" t="s">
        <v>99</v>
      </c>
    </row>
    <row r="16" spans="3:9" x14ac:dyDescent="0.25">
      <c r="C16" s="44" t="s">
        <v>121</v>
      </c>
      <c r="D16" s="44">
        <v>0</v>
      </c>
      <c r="E16" s="44">
        <f>ROUNDUP(AVERAGE(E7:E15),0)</f>
        <v>6</v>
      </c>
      <c r="F16" s="175">
        <f>AVERAGE(F7:F15)</f>
        <v>20</v>
      </c>
      <c r="G16" s="175">
        <f>ROUNDUP(AVERAGE(G7:G15),0)</f>
        <v>240</v>
      </c>
      <c r="H16" s="44">
        <v>0</v>
      </c>
      <c r="I16" s="175">
        <f>ROUNDUP(AVERAGE(I7:I15),0)</f>
        <v>6</v>
      </c>
    </row>
    <row r="18" spans="3:10" x14ac:dyDescent="0.25">
      <c r="C18" t="s">
        <v>134</v>
      </c>
    </row>
    <row r="19" spans="3:10" x14ac:dyDescent="0.25">
      <c r="C19" s="55" t="s">
        <v>99</v>
      </c>
      <c r="D19" t="s">
        <v>216</v>
      </c>
    </row>
    <row r="20" spans="3:10" x14ac:dyDescent="0.25">
      <c r="C20" s="56"/>
      <c r="D20" s="56"/>
      <c r="E20" s="56"/>
      <c r="F20" s="56"/>
      <c r="G20" s="56"/>
      <c r="H20" s="56"/>
      <c r="I20" s="56"/>
      <c r="J20" s="56"/>
    </row>
    <row r="21" spans="3:10" x14ac:dyDescent="0.25">
      <c r="C21" s="56" t="s">
        <v>282</v>
      </c>
      <c r="D21" s="56"/>
      <c r="E21" s="56"/>
      <c r="F21" s="56"/>
      <c r="G21" s="56"/>
      <c r="H21" s="56"/>
      <c r="I21" s="56"/>
      <c r="J21" s="56"/>
    </row>
  </sheetData>
  <mergeCells count="5">
    <mergeCell ref="C4:C6"/>
    <mergeCell ref="D5:E5"/>
    <mergeCell ref="D4:I4"/>
    <mergeCell ref="H5:I5"/>
    <mergeCell ref="F5:G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Demografi Responden</vt:lpstr>
      <vt:lpstr>Identitas Pengrajin</vt:lpstr>
      <vt:lpstr>Distribusi Biaya Tetap</vt:lpstr>
      <vt:lpstr>Distribusi Biaya Bahan Baku</vt:lpstr>
      <vt:lpstr>Distribusi Biaya Tenaga Kerjaa</vt:lpstr>
      <vt:lpstr>Biaya Lain-lain</vt:lpstr>
      <vt:lpstr>Biaya bahan baku per unit</vt:lpstr>
      <vt:lpstr>Rataan Biaya Investasi</vt:lpstr>
      <vt:lpstr>Kapasitas Produksi</vt:lpstr>
      <vt:lpstr>Rataan Biaya Produksi</vt:lpstr>
      <vt:lpstr>HPP</vt:lpstr>
      <vt:lpstr>Rugi Laba Kepala Barongan</vt:lpstr>
      <vt:lpstr>Cash Flow Kepala Barongan</vt:lpstr>
      <vt:lpstr>Penilaian Investasi Barongan</vt:lpstr>
      <vt:lpstr>Rugi Laba Bujangganong</vt:lpstr>
      <vt:lpstr>Cash Flow Bujangganong</vt:lpstr>
      <vt:lpstr>Penilaian Investasi Ganongan</vt:lpstr>
      <vt:lpstr>Rugi Laba Kelonosewandono</vt:lpstr>
      <vt:lpstr>Cash Flow Kelonosewandono</vt:lpstr>
      <vt:lpstr>Penilaian Investasi Sewandono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2020-11-13T00:50:10Z</dcterms:created>
  <dcterms:modified xsi:type="dcterms:W3CDTF">2021-03-29T11:59:35Z</dcterms:modified>
</cp:coreProperties>
</file>